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omments1.xml" ContentType="application/vnd.openxmlformats-officedocument.spreadsheetml.comments+xml"/>
  <Override PartName="/xl/customProperty8.bin" ContentType="application/vnd.openxmlformats-officedocument.spreadsheetml.customProperty"/>
  <Override PartName="/xl/tables/table1.xml" ContentType="application/vnd.openxmlformats-officedocument.spreadsheetml.table+xml"/>
  <Override PartName="/xl/customProperty9.bin" ContentType="application/vnd.openxmlformats-officedocument.spreadsheetml.customProperty"/>
  <Override PartName="/xl/tables/table2.xml" ContentType="application/vnd.openxmlformats-officedocument.spreadsheetml.table+xml"/>
  <Override PartName="/xl/comments2.xml" ContentType="application/vnd.openxmlformats-officedocument.spreadsheetml.comments+xml"/>
  <Override PartName="/xl/customProperty10.bin" ContentType="application/vnd.openxmlformats-officedocument.spreadsheetml.customProperty"/>
  <Override PartName="/xl/tables/table3.xml" ContentType="application/vnd.openxmlformats-officedocument.spreadsheetml.table+xml"/>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omments3.xml" ContentType="application/vnd.openxmlformats-officedocument.spreadsheetml.comments+xml"/>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omments4.xml" ContentType="application/vnd.openxmlformats-officedocument.spreadsheetml.comments+xml"/>
  <Override PartName="/xl/customProperty25.bin" ContentType="application/vnd.openxmlformats-officedocument.spreadsheetml.customProperty"/>
  <Override PartName="/xl/drawings/drawing1.xml" ContentType="application/vnd.openxmlformats-officedocument.drawing+xml"/>
  <Override PartName="/xl/customProperty26.bin" ContentType="application/vnd.openxmlformats-officedocument.spreadsheetml.customProperty"/>
  <Override PartName="/xl/drawings/drawing2.xml" ContentType="application/vnd.openxmlformats-officedocument.drawing+xml"/>
  <Override PartName="/xl/comments5.xml" ContentType="application/vnd.openxmlformats-officedocument.spreadsheetml.comments+xml"/>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EsteLivro" defaultThemeVersion="164011"/>
  <mc:AlternateContent xmlns:mc="http://schemas.openxmlformats.org/markup-compatibility/2006">
    <mc:Choice Requires="x15">
      <x15ac:absPath xmlns:x15ac="http://schemas.microsoft.com/office/spreadsheetml/2010/11/ac" url="C:\Users\AIPC\Desktop\Dados Pegada Carbono GB\"/>
    </mc:Choice>
  </mc:AlternateContent>
  <bookViews>
    <workbookView xWindow="0" yWindow="0" windowWidth="19170" windowHeight="8070" firstSheet="13" activeTab="16"/>
  </bookViews>
  <sheets>
    <sheet name="Fatores Emissões A1. Fuel 21" sheetId="1" r:id="rId1"/>
    <sheet name="Fatores Emissões A1. Fuel 19" sheetId="3" r:id="rId2"/>
    <sheet name="NIR APA vkm" sheetId="28" r:id="rId3"/>
    <sheet name="Conversões" sheetId="22" r:id="rId4"/>
    <sheet name="Sumidouros" sheetId="31" r:id="rId5"/>
    <sheet name="Conversões Energia" sheetId="26" r:id="rId6"/>
    <sheet name="Folha14" sheetId="20" r:id="rId7"/>
    <sheet name="PIC APA" sheetId="5" r:id="rId8"/>
    <sheet name="PIC DEFRA" sheetId="8" r:id="rId9"/>
    <sheet name="FE EE Location Based AIE" sheetId="21" r:id="rId10"/>
    <sheet name="FE DEFRA A1. Fuel Eq" sheetId="9" r:id="rId11"/>
    <sheet name="FE DEFRA A1. Fuel Eq (2)" sheetId="23" r:id="rId12"/>
    <sheet name="Fatores Emissões A1. Fuel Eq" sheetId="7" r:id="rId13"/>
    <sheet name="FE Em. Fugitivas" sheetId="2" r:id="rId14"/>
    <sheet name="PAG100 FE GE" sheetId="10" state="hidden" r:id="rId15"/>
    <sheet name="FE Em. Fugitivas (2)" sheetId="25" r:id="rId16"/>
    <sheet name="FE Produção Eletricidade" sheetId="11" r:id="rId17"/>
    <sheet name="FE perdas Energia" sheetId="12" r:id="rId18"/>
    <sheet name="Folha7" sheetId="27" r:id="rId19"/>
    <sheet name="Folha1" sheetId="29" r:id="rId20"/>
    <sheet name="FE Aquisições" sheetId="13" r:id="rId21"/>
    <sheet name="FE Deslocações Pendulares aux" sheetId="30" r:id="rId22"/>
    <sheet name="FE Deslocações Pendulares" sheetId="14" r:id="rId23"/>
    <sheet name="FE Entregas" sheetId="17" r:id="rId24"/>
    <sheet name="FE manutenção" sheetId="18" r:id="rId25"/>
    <sheet name="FE Resíduos" sheetId="19" r:id="rId26"/>
    <sheet name="FE Uso Água + TAR" sheetId="15" r:id="rId27"/>
    <sheet name="FE Mat Vendido" sheetId="16" r:id="rId28"/>
    <sheet name="PAG20 FE GE" sheetId="4" r:id="rId29"/>
  </sheets>
  <externalReferences>
    <externalReference r:id="rId30"/>
  </externalReferences>
  <definedNames>
    <definedName name="_xlnm._FilterDatabase" localSheetId="18" hidden="1">Folha7!$A$1:$A$79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3" i="11" l="1"/>
  <c r="T64" i="11"/>
  <c r="S64" i="11"/>
  <c r="R64" i="11"/>
  <c r="Q64" i="11"/>
  <c r="P64" i="11"/>
  <c r="O64" i="11"/>
  <c r="T63" i="11"/>
  <c r="S63" i="11"/>
  <c r="R63" i="11"/>
  <c r="Q63" i="11"/>
  <c r="P63" i="11"/>
  <c r="O63" i="11"/>
  <c r="F3" i="14" l="1"/>
  <c r="F4" i="14"/>
  <c r="F5" i="14"/>
  <c r="F6" i="14"/>
  <c r="F7" i="14"/>
  <c r="F8" i="14"/>
  <c r="F9" i="14"/>
  <c r="F10" i="14"/>
  <c r="F11" i="14"/>
  <c r="F2" i="14"/>
  <c r="G11" i="14" l="1"/>
  <c r="E11" i="14"/>
  <c r="D11" i="14"/>
  <c r="C11" i="14"/>
  <c r="B11" i="14"/>
  <c r="A11" i="14"/>
  <c r="G10" i="14"/>
  <c r="E10" i="14"/>
  <c r="D10" i="14"/>
  <c r="C10" i="14"/>
  <c r="B10" i="14"/>
  <c r="A10" i="14"/>
  <c r="G9" i="14"/>
  <c r="E9" i="14"/>
  <c r="D9" i="14"/>
  <c r="C9" i="14"/>
  <c r="B9" i="14"/>
  <c r="A9" i="14"/>
  <c r="G8" i="14"/>
  <c r="E8" i="14"/>
  <c r="D8" i="14"/>
  <c r="C8" i="14"/>
  <c r="B8" i="14"/>
  <c r="A8" i="14"/>
  <c r="G7" i="14"/>
  <c r="E7" i="14"/>
  <c r="D7" i="14"/>
  <c r="C7" i="14"/>
  <c r="B7" i="14"/>
  <c r="A7" i="14"/>
  <c r="G6" i="14"/>
  <c r="E6" i="14"/>
  <c r="D6" i="14"/>
  <c r="C6" i="14"/>
  <c r="B6" i="14"/>
  <c r="A6" i="14"/>
  <c r="G5" i="14"/>
  <c r="E5" i="14"/>
  <c r="D5" i="14"/>
  <c r="C5" i="14"/>
  <c r="B5" i="14"/>
  <c r="A5" i="14"/>
  <c r="G4" i="14"/>
  <c r="E4" i="14"/>
  <c r="D4" i="14"/>
  <c r="C4" i="14"/>
  <c r="B4" i="14"/>
  <c r="A4" i="14"/>
  <c r="G3" i="14"/>
  <c r="E3" i="14"/>
  <c r="D3" i="14"/>
  <c r="C3" i="14"/>
  <c r="B3" i="14"/>
  <c r="A3" i="14"/>
  <c r="G2" i="14"/>
  <c r="E2" i="14"/>
  <c r="D2" i="14"/>
  <c r="C2" i="14"/>
  <c r="B2" i="14"/>
  <c r="A2" i="14"/>
  <c r="M67" i="30"/>
  <c r="D67" i="30"/>
  <c r="N67" i="30" s="1"/>
  <c r="D61" i="30"/>
  <c r="M61" i="30" s="1"/>
  <c r="L60" i="30"/>
  <c r="D60" i="30"/>
  <c r="N60" i="30" s="1"/>
  <c r="D59" i="30"/>
  <c r="N59" i="30" s="1"/>
  <c r="M58" i="30"/>
  <c r="D58" i="30"/>
  <c r="N58" i="30" s="1"/>
  <c r="J52" i="30"/>
  <c r="H52" i="30"/>
  <c r="D52" i="30"/>
  <c r="N52" i="30" s="1"/>
  <c r="H51" i="30"/>
  <c r="F51" i="30"/>
  <c r="N51" i="30" s="1"/>
  <c r="D51" i="30"/>
  <c r="N50" i="30"/>
  <c r="H50" i="30"/>
  <c r="F50" i="30"/>
  <c r="D50" i="30"/>
  <c r="M50" i="30" s="1"/>
  <c r="H49" i="30"/>
  <c r="F49" i="30"/>
  <c r="D49" i="30"/>
  <c r="N49" i="30" s="1"/>
  <c r="N48" i="30"/>
  <c r="M48" i="30"/>
  <c r="L48" i="30"/>
  <c r="H48" i="30"/>
  <c r="F48" i="30"/>
  <c r="F52" i="30" s="1"/>
  <c r="D48" i="30"/>
  <c r="H47" i="30"/>
  <c r="F47" i="30"/>
  <c r="D47" i="30"/>
  <c r="N47" i="30" s="1"/>
  <c r="H46" i="30"/>
  <c r="F46" i="30"/>
  <c r="D46" i="30"/>
  <c r="N46" i="30" s="1"/>
  <c r="C31" i="30"/>
  <c r="G11" i="30"/>
  <c r="E11" i="30"/>
  <c r="C11" i="30"/>
  <c r="F11" i="30" s="1"/>
  <c r="G10" i="30"/>
  <c r="E10" i="30"/>
  <c r="D10" i="30"/>
  <c r="G9" i="30"/>
  <c r="E9" i="30"/>
  <c r="D9" i="30"/>
  <c r="G8" i="30"/>
  <c r="E8" i="30"/>
  <c r="D8" i="30"/>
  <c r="G7" i="30"/>
  <c r="G6" i="30"/>
  <c r="G5" i="30"/>
  <c r="F5" i="30"/>
  <c r="G4" i="30"/>
  <c r="F4" i="30"/>
  <c r="G3" i="30"/>
  <c r="F3" i="30"/>
  <c r="F6" i="30" s="1"/>
  <c r="C6" i="30" s="1"/>
  <c r="G2" i="30"/>
  <c r="F2" i="30"/>
  <c r="H41" i="30" l="1"/>
  <c r="M60" i="30"/>
  <c r="I41" i="30"/>
  <c r="M51" i="30"/>
  <c r="L51" i="30"/>
  <c r="L52" i="30"/>
  <c r="L61" i="30"/>
  <c r="N61" i="30"/>
  <c r="L59" i="30"/>
  <c r="M52" i="30"/>
  <c r="L50" i="30"/>
  <c r="M59" i="30"/>
  <c r="L46" i="30"/>
  <c r="M46" i="30"/>
  <c r="L49" i="30"/>
  <c r="M49" i="30"/>
  <c r="L47" i="30"/>
  <c r="M47" i="30"/>
  <c r="L58" i="30"/>
  <c r="L67" i="30"/>
  <c r="G41" i="30"/>
  <c r="I31" i="30" l="1"/>
  <c r="H31" i="30"/>
  <c r="G31" i="30"/>
  <c r="G30" i="30" s="1"/>
  <c r="C8" i="30" s="1"/>
  <c r="F8" i="30" s="1"/>
  <c r="I30" i="30"/>
  <c r="C10" i="30" s="1"/>
  <c r="F10" i="30" s="1"/>
  <c r="H30" i="30"/>
  <c r="C9" i="30" s="1"/>
  <c r="F9" i="30" s="1"/>
  <c r="C334" i="29" l="1"/>
  <c r="C333" i="29"/>
  <c r="C332" i="29"/>
  <c r="B332" i="29"/>
  <c r="C331" i="29"/>
  <c r="B331" i="29"/>
  <c r="C330" i="29"/>
  <c r="C323" i="29" l="1"/>
  <c r="E197" i="29"/>
  <c r="D197" i="29"/>
  <c r="D198" i="29" s="1"/>
  <c r="D199" i="29" s="1"/>
  <c r="C183" i="29"/>
  <c r="C182" i="29"/>
  <c r="C181" i="29"/>
  <c r="B181" i="29"/>
  <c r="C180" i="29"/>
  <c r="B180" i="29"/>
  <c r="C179" i="29"/>
  <c r="C173" i="29"/>
  <c r="C172" i="29"/>
  <c r="C171" i="29"/>
  <c r="C170" i="29"/>
  <c r="C169" i="29"/>
  <c r="C168" i="29"/>
  <c r="C167" i="29"/>
  <c r="C166" i="29"/>
  <c r="H161" i="29"/>
  <c r="H160" i="29"/>
  <c r="H159" i="29"/>
  <c r="H158" i="29"/>
  <c r="H157" i="29"/>
  <c r="H156" i="29"/>
  <c r="H155" i="29"/>
  <c r="H154" i="29"/>
  <c r="H153" i="29"/>
  <c r="H152" i="29"/>
  <c r="H151" i="29"/>
  <c r="D150" i="29"/>
  <c r="H150" i="29" s="1"/>
  <c r="D149" i="29"/>
  <c r="H149" i="29" s="1"/>
  <c r="H148" i="29"/>
  <c r="H147" i="29"/>
  <c r="H146" i="29"/>
  <c r="H145" i="29"/>
  <c r="D144" i="29"/>
  <c r="H144" i="29" s="1"/>
  <c r="H143" i="29"/>
  <c r="H142" i="29"/>
  <c r="H141" i="29"/>
  <c r="H140" i="29"/>
  <c r="E138" i="29"/>
  <c r="E139" i="29" s="1"/>
  <c r="D137" i="29"/>
  <c r="D138" i="29" s="1"/>
  <c r="D139" i="29" s="1"/>
  <c r="H139" i="29" s="1"/>
  <c r="D136" i="29"/>
  <c r="H136" i="29" s="1"/>
  <c r="H135" i="29"/>
  <c r="H134" i="29"/>
  <c r="D133" i="29"/>
  <c r="H133" i="29" s="1"/>
  <c r="H132" i="29"/>
  <c r="D131" i="29"/>
  <c r="H131" i="29" s="1"/>
  <c r="H130" i="29"/>
  <c r="H129" i="29"/>
  <c r="H128" i="29"/>
  <c r="H127" i="29"/>
  <c r="D126" i="29"/>
  <c r="H126" i="29" s="1"/>
  <c r="D125" i="29"/>
  <c r="H125" i="29" s="1"/>
  <c r="H124" i="29"/>
  <c r="H123" i="29"/>
  <c r="H122" i="29"/>
  <c r="D121" i="29"/>
  <c r="H121" i="29" s="1"/>
  <c r="D120" i="29"/>
  <c r="H120" i="29" s="1"/>
  <c r="D119" i="29"/>
  <c r="H119" i="29" s="1"/>
  <c r="D118" i="29"/>
  <c r="H118" i="29" s="1"/>
  <c r="D117" i="29"/>
  <c r="H117" i="29" s="1"/>
  <c r="L11" i="29"/>
  <c r="E112" i="29"/>
  <c r="D112" i="29"/>
  <c r="H111" i="29"/>
  <c r="H112" i="29" s="1"/>
  <c r="E111" i="29"/>
  <c r="D111" i="29"/>
  <c r="E110" i="29"/>
  <c r="D110" i="29"/>
  <c r="E109" i="29"/>
  <c r="D109" i="29"/>
  <c r="E108" i="29"/>
  <c r="D108" i="29"/>
  <c r="E107" i="29"/>
  <c r="D107" i="29"/>
  <c r="E106" i="29"/>
  <c r="D106" i="29"/>
  <c r="E105" i="29"/>
  <c r="D105" i="29"/>
  <c r="E104" i="29"/>
  <c r="D104" i="29"/>
  <c r="F95" i="29"/>
  <c r="E95" i="29"/>
  <c r="I94" i="29"/>
  <c r="I95" i="29" s="1"/>
  <c r="F94" i="29"/>
  <c r="E94" i="29"/>
  <c r="F93" i="29"/>
  <c r="E93" i="29"/>
  <c r="F92" i="29"/>
  <c r="E92" i="29"/>
  <c r="F91" i="29"/>
  <c r="E91" i="29"/>
  <c r="F90" i="29"/>
  <c r="E90" i="29"/>
  <c r="F89" i="29"/>
  <c r="E89" i="29"/>
  <c r="F88" i="29"/>
  <c r="E88" i="29"/>
  <c r="F87" i="29"/>
  <c r="E87" i="29"/>
  <c r="D55" i="29"/>
  <c r="C55" i="29"/>
  <c r="D54" i="29"/>
  <c r="C54" i="29"/>
  <c r="D53" i="29"/>
  <c r="C53" i="29"/>
  <c r="D52" i="29"/>
  <c r="C52" i="29"/>
  <c r="D51" i="29"/>
  <c r="C51" i="29"/>
  <c r="D50" i="29"/>
  <c r="C50" i="29"/>
  <c r="D41" i="29"/>
  <c r="D40" i="29"/>
  <c r="D39" i="29"/>
  <c r="D38" i="29"/>
  <c r="D37" i="29"/>
  <c r="D29" i="29"/>
  <c r="D28" i="29"/>
  <c r="D27" i="29"/>
  <c r="D26" i="29"/>
  <c r="H17" i="29"/>
  <c r="F17" i="29"/>
  <c r="D17" i="29"/>
  <c r="L17" i="29" s="1"/>
  <c r="H16" i="29"/>
  <c r="F16" i="29"/>
  <c r="D16" i="29"/>
  <c r="L16" i="29" s="1"/>
  <c r="H15" i="29"/>
  <c r="F15" i="29"/>
  <c r="D15" i="29"/>
  <c r="L15" i="29" s="1"/>
  <c r="H14" i="29"/>
  <c r="F14" i="29"/>
  <c r="D14" i="29"/>
  <c r="L14" i="29" s="1"/>
  <c r="H13" i="29"/>
  <c r="F13" i="29"/>
  <c r="D13" i="29"/>
  <c r="L13" i="29" s="1"/>
  <c r="H12" i="29"/>
  <c r="F12" i="29"/>
  <c r="D12" i="29"/>
  <c r="L12" i="29" s="1"/>
  <c r="H11" i="29"/>
  <c r="F11" i="29"/>
  <c r="D11" i="29"/>
  <c r="H10" i="29"/>
  <c r="F10" i="29"/>
  <c r="D10" i="29"/>
  <c r="L10" i="29" s="1"/>
  <c r="H9" i="29"/>
  <c r="F9" i="29"/>
  <c r="D9" i="29"/>
  <c r="L9" i="29" s="1"/>
  <c r="H8" i="29"/>
  <c r="F8" i="29"/>
  <c r="D8" i="29"/>
  <c r="L8" i="29" s="1"/>
  <c r="H7" i="29"/>
  <c r="F7" i="29"/>
  <c r="D7" i="29"/>
  <c r="L7" i="29" s="1"/>
  <c r="H137" i="29" l="1"/>
  <c r="H138" i="29"/>
  <c r="H101" i="1" l="1"/>
  <c r="E101" i="1"/>
  <c r="H100" i="1"/>
  <c r="E100" i="1"/>
  <c r="H99" i="1"/>
  <c r="E99" i="1"/>
  <c r="H109" i="1"/>
  <c r="E109" i="1"/>
  <c r="H108" i="1"/>
  <c r="E108" i="1"/>
  <c r="H107" i="1"/>
  <c r="E107" i="1"/>
  <c r="F12" i="5" l="1"/>
  <c r="I12" i="5" s="1"/>
  <c r="H12" i="5" s="1"/>
  <c r="E5" i="5"/>
  <c r="F5" i="5" s="1"/>
  <c r="E10" i="5"/>
  <c r="F10" i="5" s="1"/>
  <c r="I6" i="5"/>
  <c r="H6" i="5"/>
  <c r="F6" i="5"/>
  <c r="F2" i="5"/>
  <c r="F3" i="5"/>
  <c r="F4" i="5"/>
  <c r="F7" i="5"/>
  <c r="F8" i="5"/>
  <c r="F9" i="5"/>
  <c r="F11" i="5"/>
  <c r="G31" i="8"/>
  <c r="F31" i="8"/>
  <c r="E31" i="8"/>
  <c r="D31" i="8"/>
  <c r="G12" i="5" l="1"/>
  <c r="E12" i="5" l="1"/>
  <c r="N12" i="5"/>
  <c r="E11" i="5"/>
  <c r="N11" i="5"/>
  <c r="N6" i="5"/>
  <c r="N2" i="5"/>
  <c r="N3" i="5"/>
  <c r="N4" i="5"/>
  <c r="N5" i="5"/>
  <c r="N7" i="5"/>
  <c r="N8" i="5"/>
  <c r="N9" i="5"/>
  <c r="N10" i="5"/>
  <c r="G6" i="5" l="1"/>
  <c r="T56" i="11"/>
  <c r="S56" i="11"/>
  <c r="R56" i="11"/>
  <c r="Q56" i="11"/>
  <c r="P56" i="11"/>
  <c r="O56" i="11"/>
  <c r="T62" i="11"/>
  <c r="S62" i="11"/>
  <c r="R62" i="11"/>
  <c r="Q62" i="11"/>
  <c r="P62" i="11"/>
  <c r="O62" i="11"/>
  <c r="T61" i="11"/>
  <c r="S61" i="11"/>
  <c r="R61" i="11"/>
  <c r="Q61" i="11"/>
  <c r="P61" i="11"/>
  <c r="O61" i="11"/>
  <c r="T60" i="11"/>
  <c r="S60" i="11"/>
  <c r="R60" i="11"/>
  <c r="Q60" i="11"/>
  <c r="P60" i="11"/>
  <c r="O60" i="11"/>
  <c r="T59" i="11"/>
  <c r="S59" i="11"/>
  <c r="R59" i="11"/>
  <c r="Q59" i="11"/>
  <c r="P59" i="11"/>
  <c r="O59" i="11"/>
  <c r="T58" i="11"/>
  <c r="S58" i="11"/>
  <c r="R58" i="11"/>
  <c r="Q58" i="11"/>
  <c r="P58" i="11"/>
  <c r="O58" i="11"/>
  <c r="T57" i="11"/>
  <c r="S57" i="11"/>
  <c r="R57" i="11"/>
  <c r="Q57" i="11"/>
  <c r="P57" i="11"/>
  <c r="O57" i="11"/>
  <c r="T55" i="11"/>
  <c r="S55" i="11"/>
  <c r="R55" i="11"/>
  <c r="Q55" i="11"/>
  <c r="P55" i="11"/>
  <c r="O55" i="11"/>
  <c r="T54" i="11"/>
  <c r="S54" i="11"/>
  <c r="R54" i="11"/>
  <c r="Q54" i="11"/>
  <c r="P54" i="11"/>
  <c r="O54" i="11"/>
  <c r="G11" i="2"/>
  <c r="F11" i="2"/>
  <c r="E11" i="2"/>
  <c r="C11" i="2"/>
  <c r="B11" i="2"/>
  <c r="F23" i="2"/>
  <c r="E23" i="2"/>
  <c r="C23" i="2"/>
  <c r="B23" i="2"/>
  <c r="D11" i="2"/>
  <c r="C10" i="2"/>
  <c r="D10" i="2"/>
  <c r="E10" i="2"/>
  <c r="F10" i="2"/>
  <c r="G10" i="2"/>
  <c r="B10" i="2"/>
  <c r="D9" i="2"/>
  <c r="E9" i="2"/>
  <c r="F9" i="2"/>
  <c r="G9" i="2"/>
  <c r="C9" i="2"/>
  <c r="B9" i="2"/>
  <c r="I52" i="13" l="1"/>
  <c r="I50" i="13"/>
  <c r="D53" i="13"/>
  <c r="D52" i="13"/>
  <c r="U3" i="12"/>
  <c r="U4" i="12"/>
  <c r="U5" i="12"/>
  <c r="U6" i="12"/>
  <c r="U7" i="12"/>
  <c r="U8" i="12"/>
  <c r="U9" i="12"/>
  <c r="U10" i="12"/>
  <c r="U11" i="12"/>
  <c r="U12" i="12"/>
  <c r="U13" i="12"/>
  <c r="U14" i="12"/>
  <c r="U15" i="12"/>
  <c r="U16" i="12"/>
  <c r="U17" i="12"/>
  <c r="U18" i="12"/>
  <c r="U19" i="12"/>
  <c r="U20" i="12"/>
  <c r="U21" i="12"/>
  <c r="U22" i="12"/>
  <c r="U23" i="12"/>
  <c r="U24" i="12"/>
  <c r="U2" i="12"/>
  <c r="T53" i="11" l="1"/>
  <c r="S53" i="11"/>
  <c r="R53" i="11"/>
  <c r="Q53" i="11"/>
  <c r="P53" i="11"/>
  <c r="O53" i="11"/>
  <c r="T52" i="11"/>
  <c r="S52" i="11"/>
  <c r="R52" i="11"/>
  <c r="Q52" i="11"/>
  <c r="P52" i="11"/>
  <c r="O52" i="11"/>
  <c r="T51" i="11"/>
  <c r="S51" i="11"/>
  <c r="R51" i="11"/>
  <c r="Q51" i="11"/>
  <c r="P51" i="11"/>
  <c r="O51" i="11"/>
  <c r="T50" i="11"/>
  <c r="S50" i="11"/>
  <c r="R50" i="11"/>
  <c r="Q50" i="11"/>
  <c r="P50" i="11"/>
  <c r="O50" i="11"/>
  <c r="D3" i="9"/>
  <c r="D4" i="9"/>
  <c r="D5" i="9"/>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2" i="9"/>
  <c r="C29" i="22" l="1"/>
  <c r="AG116" i="3"/>
  <c r="AI116" i="3"/>
  <c r="AG117" i="3"/>
  <c r="AG118" i="3"/>
  <c r="AG119" i="3"/>
  <c r="AG120" i="3"/>
  <c r="AG121" i="3"/>
  <c r="AG122" i="3"/>
  <c r="AG123" i="3"/>
  <c r="AG124" i="3"/>
  <c r="AI124" i="3"/>
  <c r="AG125" i="3"/>
  <c r="AG126" i="3"/>
  <c r="AG127" i="3"/>
  <c r="AG128" i="3"/>
  <c r="AG129" i="3"/>
  <c r="AG130" i="3"/>
  <c r="E130" i="3"/>
  <c r="E129" i="3"/>
  <c r="E128" i="3"/>
  <c r="E127" i="3"/>
  <c r="E126" i="3"/>
  <c r="E125" i="3"/>
  <c r="E124" i="3"/>
  <c r="E123" i="3"/>
  <c r="E122" i="3"/>
  <c r="E121" i="3"/>
  <c r="E120" i="3"/>
  <c r="E119" i="3"/>
  <c r="E118" i="3"/>
  <c r="E117" i="3"/>
  <c r="E116" i="3"/>
  <c r="O130" i="1"/>
  <c r="P130" i="1"/>
  <c r="Q130" i="1"/>
  <c r="AG130" i="1"/>
  <c r="AH130" i="1"/>
  <c r="AI130" i="1"/>
  <c r="O131" i="1"/>
  <c r="P131" i="1"/>
  <c r="Q131" i="1"/>
  <c r="AG131" i="1"/>
  <c r="AH131" i="1"/>
  <c r="AI131" i="1"/>
  <c r="O132" i="1"/>
  <c r="P132" i="1"/>
  <c r="Q132" i="1"/>
  <c r="AG132" i="1"/>
  <c r="AH132" i="1"/>
  <c r="AI132" i="1"/>
  <c r="O133" i="1"/>
  <c r="P133" i="1"/>
  <c r="Q133" i="1"/>
  <c r="AG133" i="1"/>
  <c r="AH133" i="1"/>
  <c r="AI133" i="1"/>
  <c r="O134" i="1"/>
  <c r="P134" i="1"/>
  <c r="Q134" i="1"/>
  <c r="AG134" i="1"/>
  <c r="AH134" i="1"/>
  <c r="AI134" i="1"/>
  <c r="O135" i="1"/>
  <c r="P135" i="1"/>
  <c r="Q135" i="1"/>
  <c r="AG135" i="1"/>
  <c r="AH135" i="1"/>
  <c r="AI135" i="1"/>
  <c r="O136" i="1"/>
  <c r="P136" i="1"/>
  <c r="Q136" i="1"/>
  <c r="AG136" i="1"/>
  <c r="AH136" i="1"/>
  <c r="AI136" i="1"/>
  <c r="O137" i="1"/>
  <c r="P137" i="1"/>
  <c r="Q137" i="1"/>
  <c r="AG137" i="1"/>
  <c r="AH137" i="1"/>
  <c r="AI137" i="1"/>
  <c r="AG122" i="1"/>
  <c r="AH122" i="1"/>
  <c r="AI122" i="1"/>
  <c r="AG123" i="1"/>
  <c r="AH123" i="1"/>
  <c r="AI123" i="1"/>
  <c r="AG124" i="1"/>
  <c r="AH124" i="1"/>
  <c r="AI124" i="1"/>
  <c r="AG125" i="1"/>
  <c r="AH125" i="1"/>
  <c r="AI125" i="1"/>
  <c r="AG126" i="1"/>
  <c r="AH126" i="1"/>
  <c r="AI126" i="1"/>
  <c r="AG127" i="1"/>
  <c r="AH127" i="1"/>
  <c r="AI127" i="1"/>
  <c r="AG128" i="1"/>
  <c r="AH128" i="1"/>
  <c r="AI128" i="1"/>
  <c r="AG129" i="1"/>
  <c r="AH129" i="1"/>
  <c r="AI129" i="1"/>
  <c r="O122" i="1"/>
  <c r="P122" i="1"/>
  <c r="Q122" i="1"/>
  <c r="O123" i="1"/>
  <c r="P123" i="1"/>
  <c r="Q123" i="1"/>
  <c r="O124" i="1"/>
  <c r="P124" i="1"/>
  <c r="Q124" i="1"/>
  <c r="O125" i="1"/>
  <c r="P125" i="1"/>
  <c r="Q125" i="1"/>
  <c r="O126" i="1"/>
  <c r="P126" i="1"/>
  <c r="Q126" i="1"/>
  <c r="O127" i="1"/>
  <c r="P127" i="1"/>
  <c r="Q127" i="1"/>
  <c r="O128" i="1"/>
  <c r="P128" i="1"/>
  <c r="Q128" i="1"/>
  <c r="O129" i="1"/>
  <c r="P129" i="1"/>
  <c r="Q129" i="1"/>
  <c r="E122" i="1"/>
  <c r="E123" i="1"/>
  <c r="E124" i="1"/>
  <c r="E125" i="1"/>
  <c r="E126" i="1"/>
  <c r="E127" i="1"/>
  <c r="E128" i="1"/>
  <c r="E129" i="1"/>
  <c r="E130" i="1"/>
  <c r="E131" i="1"/>
  <c r="E132" i="1"/>
  <c r="E133" i="1"/>
  <c r="E134" i="1"/>
  <c r="E135" i="1"/>
  <c r="E136" i="1"/>
  <c r="E137" i="1"/>
  <c r="M67" i="28" l="1"/>
  <c r="L68" i="28"/>
  <c r="M68" i="28" s="1"/>
  <c r="L67" i="28"/>
  <c r="K68" i="28"/>
  <c r="K67" i="28"/>
  <c r="J68" i="28"/>
  <c r="J67" i="28"/>
  <c r="F68" i="28"/>
  <c r="E68" i="28"/>
  <c r="F67" i="28"/>
  <c r="E67" i="28"/>
  <c r="M66" i="28"/>
  <c r="M65" i="28"/>
  <c r="M64" i="28"/>
  <c r="L66" i="28"/>
  <c r="L65" i="28"/>
  <c r="L64" i="28"/>
  <c r="K65" i="28"/>
  <c r="K66" i="28"/>
  <c r="K64" i="28"/>
  <c r="J66" i="28"/>
  <c r="J65" i="28"/>
  <c r="J64" i="28"/>
  <c r="F64" i="28"/>
  <c r="F65" i="28"/>
  <c r="F66" i="28"/>
  <c r="E66" i="28"/>
  <c r="E65" i="28"/>
  <c r="E64" i="28"/>
  <c r="M57" i="28"/>
  <c r="M58" i="28"/>
  <c r="M59" i="28"/>
  <c r="M60" i="28"/>
  <c r="M61" i="28"/>
  <c r="M62" i="28"/>
  <c r="M63" i="28"/>
  <c r="M56" i="28"/>
  <c r="L63" i="28"/>
  <c r="L62" i="28"/>
  <c r="L61" i="28"/>
  <c r="L60" i="28"/>
  <c r="L59" i="28"/>
  <c r="L58" i="28"/>
  <c r="L57" i="28"/>
  <c r="L56" i="28"/>
  <c r="K57" i="28"/>
  <c r="K58" i="28"/>
  <c r="K59" i="28"/>
  <c r="K60" i="28"/>
  <c r="K61" i="28"/>
  <c r="K62" i="28"/>
  <c r="K63" i="28"/>
  <c r="K56" i="28"/>
  <c r="J57" i="28"/>
  <c r="J58" i="28"/>
  <c r="J59" i="28"/>
  <c r="J60" i="28"/>
  <c r="J61" i="28"/>
  <c r="J62" i="28"/>
  <c r="J63" i="28"/>
  <c r="J56" i="28"/>
  <c r="F63" i="28"/>
  <c r="E63" i="28"/>
  <c r="F62" i="28"/>
  <c r="E62" i="28"/>
  <c r="F61" i="28"/>
  <c r="E61" i="28"/>
  <c r="F60" i="28"/>
  <c r="E60" i="28"/>
  <c r="F59" i="28"/>
  <c r="E59" i="28"/>
  <c r="F58" i="28"/>
  <c r="E58" i="28"/>
  <c r="F57" i="28"/>
  <c r="E57" i="28"/>
  <c r="F56" i="28"/>
  <c r="E56" i="28"/>
  <c r="M49" i="28"/>
  <c r="M50" i="28"/>
  <c r="M51" i="28"/>
  <c r="M52" i="28"/>
  <c r="M53" i="28"/>
  <c r="M54" i="28"/>
  <c r="M55" i="28"/>
  <c r="M48" i="28"/>
  <c r="L55" i="28"/>
  <c r="L54" i="28"/>
  <c r="L53" i="28"/>
  <c r="L52" i="28"/>
  <c r="L51" i="28"/>
  <c r="L50" i="28"/>
  <c r="L49" i="28"/>
  <c r="L48" i="28"/>
  <c r="K49" i="28"/>
  <c r="K50" i="28"/>
  <c r="K51" i="28"/>
  <c r="K52" i="28"/>
  <c r="K53" i="28"/>
  <c r="K54" i="28"/>
  <c r="K55" i="28"/>
  <c r="K48" i="28"/>
  <c r="J49" i="28"/>
  <c r="J50" i="28"/>
  <c r="J51" i="28"/>
  <c r="J52" i="28"/>
  <c r="J53" i="28"/>
  <c r="J54" i="28"/>
  <c r="J55" i="28"/>
  <c r="J48" i="28"/>
  <c r="F55" i="28"/>
  <c r="F54" i="28"/>
  <c r="F53" i="28"/>
  <c r="F52" i="28"/>
  <c r="F51" i="28"/>
  <c r="F50" i="28"/>
  <c r="F49" i="28"/>
  <c r="F48" i="28"/>
  <c r="E55" i="28"/>
  <c r="E54" i="28"/>
  <c r="E53" i="28"/>
  <c r="E52" i="28"/>
  <c r="E51" i="28"/>
  <c r="E50" i="28"/>
  <c r="E49" i="28"/>
  <c r="E48" i="28"/>
  <c r="AG106" i="3"/>
  <c r="AG107" i="3"/>
  <c r="AH107" i="3"/>
  <c r="AI107" i="3"/>
  <c r="AG108" i="3"/>
  <c r="AH108" i="3"/>
  <c r="AI108" i="3"/>
  <c r="AG110" i="3"/>
  <c r="AG109" i="3" s="1"/>
  <c r="AG111" i="3"/>
  <c r="AG112" i="3"/>
  <c r="AG113" i="3"/>
  <c r="O118" i="1"/>
  <c r="P118" i="1"/>
  <c r="Q118" i="1"/>
  <c r="AG118" i="1"/>
  <c r="AH118" i="1"/>
  <c r="AI118" i="1"/>
  <c r="O119" i="1"/>
  <c r="P119" i="1"/>
  <c r="Q119" i="1"/>
  <c r="AG119" i="1"/>
  <c r="AH119" i="1"/>
  <c r="AI119" i="1"/>
  <c r="O117" i="1"/>
  <c r="P117" i="1"/>
  <c r="Q117" i="1"/>
  <c r="AG117" i="1"/>
  <c r="AH117" i="1"/>
  <c r="AI117" i="1"/>
  <c r="O114" i="1"/>
  <c r="O121" i="1" s="1"/>
  <c r="P114" i="1"/>
  <c r="P121" i="1" s="1"/>
  <c r="Q114" i="1"/>
  <c r="Q121" i="1" s="1"/>
  <c r="AG114" i="1"/>
  <c r="AG121" i="1" s="1"/>
  <c r="AH114" i="1"/>
  <c r="AH121" i="1" s="1"/>
  <c r="AI114" i="1"/>
  <c r="AI121" i="1" s="1"/>
  <c r="AI113" i="1"/>
  <c r="AI120" i="1" s="1"/>
  <c r="AH113" i="1"/>
  <c r="AH120" i="1" s="1"/>
  <c r="AG113" i="1"/>
  <c r="AG120" i="1" s="1"/>
  <c r="Q113" i="1"/>
  <c r="Q120" i="1" s="1"/>
  <c r="P113" i="1"/>
  <c r="P120" i="1" s="1"/>
  <c r="O113" i="1"/>
  <c r="O120" i="1" s="1"/>
  <c r="O116" i="1"/>
  <c r="P116" i="1"/>
  <c r="Q116" i="1"/>
  <c r="O112" i="1"/>
  <c r="P112" i="1"/>
  <c r="Q112" i="1"/>
  <c r="Q111" i="1" s="1"/>
  <c r="AI33" i="1"/>
  <c r="AH33" i="1"/>
  <c r="AG33" i="1"/>
  <c r="Q33" i="1"/>
  <c r="P33" i="1"/>
  <c r="O33" i="1"/>
  <c r="AI32" i="1"/>
  <c r="AH32" i="1"/>
  <c r="AG32" i="1"/>
  <c r="Q32" i="1"/>
  <c r="P32" i="1"/>
  <c r="O32" i="1"/>
  <c r="AI31" i="1"/>
  <c r="AH31" i="1"/>
  <c r="AG31" i="1"/>
  <c r="Q31" i="1"/>
  <c r="P31" i="1"/>
  <c r="O31" i="1"/>
  <c r="AI30" i="1"/>
  <c r="AH30" i="1"/>
  <c r="AG30" i="1"/>
  <c r="Q30" i="1"/>
  <c r="P30" i="1"/>
  <c r="O30" i="1"/>
  <c r="AI29" i="1"/>
  <c r="AH29" i="1"/>
  <c r="AG29" i="1"/>
  <c r="Q29" i="1"/>
  <c r="P29" i="1"/>
  <c r="O29" i="1"/>
  <c r="AI28" i="1"/>
  <c r="AH28" i="1"/>
  <c r="AG28" i="1"/>
  <c r="Q28" i="1"/>
  <c r="P28" i="1"/>
  <c r="O28" i="1"/>
  <c r="AI27" i="1"/>
  <c r="AH27" i="1"/>
  <c r="AG27" i="1"/>
  <c r="Q27" i="1"/>
  <c r="P27" i="1"/>
  <c r="O27" i="1"/>
  <c r="AI26" i="1"/>
  <c r="AH26" i="1"/>
  <c r="AG26" i="1"/>
  <c r="Q26" i="1"/>
  <c r="P26" i="1"/>
  <c r="O26" i="1"/>
  <c r="AI116" i="1"/>
  <c r="AH116" i="1"/>
  <c r="AG116" i="1"/>
  <c r="AG115" i="1" s="1"/>
  <c r="AI112" i="1"/>
  <c r="AH112" i="1"/>
  <c r="AG112" i="1"/>
  <c r="E117" i="1"/>
  <c r="E118" i="1"/>
  <c r="E119" i="1"/>
  <c r="E114" i="1"/>
  <c r="E116" i="1"/>
  <c r="E115" i="1"/>
  <c r="E113" i="1"/>
  <c r="E112" i="1"/>
  <c r="L15" i="28"/>
  <c r="L14" i="28"/>
  <c r="L13" i="28"/>
  <c r="J14" i="28"/>
  <c r="J15" i="28"/>
  <c r="J13" i="28"/>
  <c r="F3" i="28"/>
  <c r="F4" i="28"/>
  <c r="F5" i="28"/>
  <c r="F6" i="28"/>
  <c r="F7" i="28"/>
  <c r="F8" i="28"/>
  <c r="F9" i="28"/>
  <c r="F10" i="28"/>
  <c r="F11" i="28"/>
  <c r="F12" i="28"/>
  <c r="F13" i="28"/>
  <c r="F14" i="28"/>
  <c r="F15" i="28"/>
  <c r="F16" i="28"/>
  <c r="F17" i="28"/>
  <c r="F18" i="28"/>
  <c r="F19" i="28"/>
  <c r="F20" i="28"/>
  <c r="F21" i="28"/>
  <c r="F22" i="28"/>
  <c r="F23" i="28"/>
  <c r="F24" i="28"/>
  <c r="F25" i="28"/>
  <c r="F26" i="28"/>
  <c r="F27" i="28"/>
  <c r="F28" i="28"/>
  <c r="F29" i="28"/>
  <c r="F30" i="28"/>
  <c r="F31" i="28"/>
  <c r="F32" i="28"/>
  <c r="F33" i="28"/>
  <c r="F34" i="28"/>
  <c r="F35" i="28"/>
  <c r="F36" i="28"/>
  <c r="F37" i="28"/>
  <c r="F38" i="28"/>
  <c r="F39" i="28"/>
  <c r="F40" i="28"/>
  <c r="F41" i="28"/>
  <c r="F42" i="28"/>
  <c r="F43" i="28"/>
  <c r="F44" i="28"/>
  <c r="F45" i="28"/>
  <c r="F46" i="28"/>
  <c r="F47" i="28"/>
  <c r="F2" i="28"/>
  <c r="E47" i="28"/>
  <c r="E46" i="28"/>
  <c r="E45" i="28"/>
  <c r="E44" i="28"/>
  <c r="E43" i="28"/>
  <c r="E42" i="28"/>
  <c r="E41" i="28"/>
  <c r="E40" i="28"/>
  <c r="E39" i="28"/>
  <c r="E38" i="28"/>
  <c r="E37" i="28"/>
  <c r="E36" i="28"/>
  <c r="E35" i="28"/>
  <c r="E34" i="28"/>
  <c r="E33" i="28"/>
  <c r="E32" i="28"/>
  <c r="E31" i="28"/>
  <c r="E30" i="28"/>
  <c r="E29" i="28"/>
  <c r="E28" i="28"/>
  <c r="E27" i="28"/>
  <c r="E26" i="28"/>
  <c r="E25" i="28"/>
  <c r="E24" i="28"/>
  <c r="E23" i="28"/>
  <c r="E22" i="28"/>
  <c r="E21" i="28"/>
  <c r="E20" i="28"/>
  <c r="E19" i="28"/>
  <c r="E18" i="28"/>
  <c r="E17" i="28"/>
  <c r="E16" i="28"/>
  <c r="E15" i="28"/>
  <c r="E14" i="28"/>
  <c r="E13" i="28"/>
  <c r="E12" i="28"/>
  <c r="E11" i="28"/>
  <c r="E10" i="28"/>
  <c r="E9" i="28"/>
  <c r="E8" i="28"/>
  <c r="E7" i="28"/>
  <c r="E6" i="28"/>
  <c r="E5" i="28"/>
  <c r="E4" i="28"/>
  <c r="E3" i="28"/>
  <c r="E2" i="28"/>
  <c r="P111" i="1" l="1"/>
  <c r="AI115" i="1"/>
  <c r="AG111" i="1"/>
  <c r="O111" i="1"/>
  <c r="AI110" i="1"/>
  <c r="AH110" i="1"/>
  <c r="AG110" i="1"/>
  <c r="P110" i="1"/>
  <c r="O110" i="1"/>
  <c r="Q110" i="1"/>
  <c r="AI111" i="1"/>
  <c r="AH115" i="1"/>
  <c r="AH111" i="1"/>
  <c r="P115" i="1"/>
  <c r="O115" i="1"/>
  <c r="Q115" i="1"/>
  <c r="M18" i="28" a="1"/>
  <c r="M18" i="28" s="1"/>
  <c r="M16" i="28" a="1"/>
  <c r="M16" i="28" s="1"/>
  <c r="M34" i="28" a="1"/>
  <c r="M34" i="28" s="1"/>
  <c r="M46" i="28" a="1"/>
  <c r="M46" i="28" s="1"/>
  <c r="M11" i="28" a="1"/>
  <c r="M11" i="28" s="1"/>
  <c r="M28" i="28" a="1"/>
  <c r="M28" i="28" s="1"/>
  <c r="M32" i="28" a="1"/>
  <c r="M32" i="28" s="1"/>
  <c r="K36" i="28" a="1"/>
  <c r="K36" i="28" s="1"/>
  <c r="M42" i="28" a="1"/>
  <c r="M42" i="28" s="1"/>
  <c r="M44" i="28" a="1"/>
  <c r="M44" i="28" s="1"/>
  <c r="M26" i="28" a="1"/>
  <c r="M26" i="28" s="1"/>
  <c r="M47" i="28" a="1"/>
  <c r="M47" i="28" s="1"/>
  <c r="M24" i="28" a="1"/>
  <c r="M24" i="28" s="1"/>
  <c r="M22" i="28" a="1"/>
  <c r="M22" i="28" s="1"/>
  <c r="M15" i="28" a="1"/>
  <c r="M15" i="28" s="1"/>
  <c r="M33" i="28" a="1"/>
  <c r="M33" i="28" s="1"/>
  <c r="K20" i="28" a="1"/>
  <c r="K20" i="28" s="1"/>
  <c r="M25" i="28" a="1"/>
  <c r="M25" i="28" s="1"/>
  <c r="M35" i="28" a="1"/>
  <c r="M35" i="28" s="1"/>
  <c r="M19" i="28" a="1"/>
  <c r="M19" i="28" s="1"/>
  <c r="M40" i="28" a="1"/>
  <c r="M40" i="28" s="1"/>
  <c r="M31" i="28" a="1"/>
  <c r="M31" i="28" s="1"/>
  <c r="M23" i="28" a="1"/>
  <c r="M23" i="28" s="1"/>
  <c r="M39" i="28" a="1"/>
  <c r="M39" i="28" s="1"/>
  <c r="M41" i="28" a="1"/>
  <c r="M41" i="28" s="1"/>
  <c r="K45" i="28" a="1"/>
  <c r="K45" i="28" s="1"/>
  <c r="K30" i="28" a="1"/>
  <c r="K30" i="28" s="1"/>
  <c r="M38" i="28" a="1"/>
  <c r="M38" i="28" s="1"/>
  <c r="M30" i="28" a="1"/>
  <c r="M30" i="28" s="1"/>
  <c r="K29" i="28" a="1"/>
  <c r="K29" i="28" s="1"/>
  <c r="K44" i="28" a="1"/>
  <c r="K44" i="28" s="1"/>
  <c r="K32" i="28" a="1"/>
  <c r="K32" i="28" s="1"/>
  <c r="M29" i="28" a="1"/>
  <c r="M29" i="28" s="1"/>
  <c r="M12" i="28" a="1"/>
  <c r="M12" i="28" s="1"/>
  <c r="M21" i="28" a="1"/>
  <c r="M21" i="28" s="1"/>
  <c r="M45" i="28" a="1"/>
  <c r="M45" i="28" s="1"/>
  <c r="M20" i="28" a="1"/>
  <c r="M20" i="28" s="1"/>
  <c r="M37" i="28" a="1"/>
  <c r="M37" i="28" s="1"/>
  <c r="M36" i="28" a="1"/>
  <c r="M36" i="28" s="1"/>
  <c r="K41" i="28" a="1"/>
  <c r="K41" i="28" s="1"/>
  <c r="M27" i="28" a="1"/>
  <c r="M27" i="28" s="1"/>
  <c r="M14" i="28" a="1"/>
  <c r="M14" i="28" s="1"/>
  <c r="M9" i="28" a="1"/>
  <c r="M9" i="28" s="1"/>
  <c r="K39" i="28" a="1"/>
  <c r="K39" i="28" s="1"/>
  <c r="M43" i="28" a="1"/>
  <c r="M43" i="28" s="1"/>
  <c r="M10" i="28" a="1"/>
  <c r="M10" i="28" s="1"/>
  <c r="M17" i="28" a="1"/>
  <c r="M17" i="28" s="1"/>
  <c r="M13" i="28" a="1"/>
  <c r="M13" i="28" s="1"/>
  <c r="K5" i="28" a="1"/>
  <c r="K5" i="28" s="1"/>
  <c r="K42" i="28" a="1"/>
  <c r="K42" i="28" s="1"/>
  <c r="K28" i="28" a="1"/>
  <c r="K28" i="28" s="1"/>
  <c r="K14" i="28" a="1"/>
  <c r="K14" i="28" s="1"/>
  <c r="K43" i="28" a="1"/>
  <c r="K43" i="28" s="1"/>
  <c r="K4" i="28" a="1"/>
  <c r="K4" i="28" s="1"/>
  <c r="K27" i="28" a="1"/>
  <c r="K27" i="28" s="1"/>
  <c r="K15" i="28" a="1"/>
  <c r="K15" i="28" s="1"/>
  <c r="K3" i="28" a="1"/>
  <c r="K3" i="28" s="1"/>
  <c r="K40" i="28" a="1"/>
  <c r="K40" i="28" s="1"/>
  <c r="K26" i="28" a="1"/>
  <c r="K26" i="28" s="1"/>
  <c r="K13" i="28" a="1"/>
  <c r="K13" i="28" s="1"/>
  <c r="K16" i="28" a="1"/>
  <c r="K16" i="28" s="1"/>
  <c r="M2" i="28" a="1"/>
  <c r="M2" i="28" s="1"/>
  <c r="K25" i="28" a="1"/>
  <c r="K25" i="28" s="1"/>
  <c r="K31" i="28" a="1"/>
  <c r="K31" i="28" s="1"/>
  <c r="K24" i="28" a="1"/>
  <c r="K24" i="28" s="1"/>
  <c r="M8" i="28" a="1"/>
  <c r="M8" i="28" s="1"/>
  <c r="K38" i="28" a="1"/>
  <c r="K38" i="28" s="1"/>
  <c r="K8" i="28" a="1"/>
  <c r="K8" i="28" s="1"/>
  <c r="M7" i="28" a="1"/>
  <c r="M7" i="28" s="1"/>
  <c r="K37" i="28" a="1"/>
  <c r="K37" i="28" s="1"/>
  <c r="K12" i="28" a="1"/>
  <c r="K12" i="28" s="1"/>
  <c r="K18" i="28" a="1"/>
  <c r="K18" i="28" s="1"/>
  <c r="M6" i="28" a="1"/>
  <c r="M6" i="28" s="1"/>
  <c r="M5" i="28" a="1"/>
  <c r="M5" i="28" s="1"/>
  <c r="K35" i="28" a="1"/>
  <c r="K35" i="28" s="1"/>
  <c r="K23" i="28" a="1"/>
  <c r="K23" i="28" s="1"/>
  <c r="K17" i="28" a="1"/>
  <c r="K17" i="28" s="1"/>
  <c r="M4" i="28" a="1"/>
  <c r="M4" i="28" s="1"/>
  <c r="K34" i="28" a="1"/>
  <c r="K34" i="28" s="1"/>
  <c r="K22" i="28" a="1"/>
  <c r="K22" i="28" s="1"/>
  <c r="K11" i="28" a="1"/>
  <c r="K11" i="28" s="1"/>
  <c r="K6" i="28" a="1"/>
  <c r="K6" i="28" s="1"/>
  <c r="M3" i="28" a="1"/>
  <c r="M3" i="28" s="1"/>
  <c r="K33" i="28" a="1"/>
  <c r="K33" i="28" s="1"/>
  <c r="K21" i="28" a="1"/>
  <c r="K21" i="28" s="1"/>
  <c r="K7" i="28" a="1"/>
  <c r="K7" i="28" s="1"/>
  <c r="K47" i="28" a="1"/>
  <c r="K47" i="28" s="1"/>
  <c r="K10" i="28" a="1"/>
  <c r="K10" i="28" s="1"/>
  <c r="K2" i="28" a="1"/>
  <c r="K2" i="28" s="1"/>
  <c r="K9" i="28" a="1"/>
  <c r="K9" i="28" s="1"/>
  <c r="K46" i="28" a="1"/>
  <c r="K46" i="28" s="1"/>
  <c r="K19" i="28" a="1"/>
  <c r="K19" i="28" s="1"/>
  <c r="E3" i="3" l="1"/>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14" i="3"/>
  <c r="E115" i="3"/>
  <c r="C27" i="22"/>
  <c r="C28" i="22"/>
  <c r="C26" i="22"/>
  <c r="C25" i="22"/>
  <c r="C24" i="22"/>
  <c r="C23" i="22"/>
  <c r="C22" i="22"/>
  <c r="C21" i="22"/>
  <c r="C20" i="22"/>
  <c r="D49" i="13"/>
  <c r="D39" i="13"/>
  <c r="D40" i="13"/>
  <c r="D41" i="13"/>
  <c r="D42" i="13"/>
  <c r="D43" i="13"/>
  <c r="D44" i="13"/>
  <c r="D45" i="13"/>
  <c r="D46" i="13"/>
  <c r="D47" i="13"/>
  <c r="D38" i="13"/>
  <c r="D37" i="13"/>
  <c r="D27" i="13"/>
  <c r="D28" i="13"/>
  <c r="D29" i="13"/>
  <c r="D30" i="13"/>
  <c r="D31" i="13"/>
  <c r="D32" i="13"/>
  <c r="D33" i="13"/>
  <c r="D34" i="13"/>
  <c r="D35" i="13"/>
  <c r="D26" i="13"/>
  <c r="D25" i="13"/>
  <c r="D15" i="13"/>
  <c r="D16" i="13"/>
  <c r="D17" i="13"/>
  <c r="D18" i="13"/>
  <c r="D19" i="13"/>
  <c r="D20" i="13"/>
  <c r="D21" i="13"/>
  <c r="D22" i="13"/>
  <c r="D23" i="13"/>
  <c r="D14" i="13"/>
  <c r="D13" i="13"/>
  <c r="D3" i="13"/>
  <c r="D4" i="13"/>
  <c r="D5" i="13"/>
  <c r="D6" i="13"/>
  <c r="D7" i="13"/>
  <c r="D8" i="13"/>
  <c r="D9" i="13"/>
  <c r="D10" i="13"/>
  <c r="D11" i="13"/>
  <c r="D2" i="13"/>
  <c r="U28" i="12" l="1"/>
  <c r="U29" i="12"/>
  <c r="U30" i="12"/>
  <c r="U31" i="12"/>
  <c r="U33" i="12"/>
  <c r="U34" i="12"/>
  <c r="U35" i="12"/>
  <c r="U36" i="12"/>
  <c r="U38" i="12"/>
  <c r="U39" i="12"/>
  <c r="U40" i="12"/>
  <c r="U41" i="12"/>
  <c r="U43" i="12"/>
  <c r="U44" i="12"/>
  <c r="U45" i="12"/>
  <c r="U46" i="12"/>
  <c r="U48" i="12"/>
  <c r="U49" i="12"/>
  <c r="U50" i="12"/>
  <c r="U51" i="12"/>
  <c r="U53" i="12"/>
  <c r="U54" i="12"/>
  <c r="U55" i="12"/>
  <c r="U56" i="12"/>
  <c r="U58" i="12"/>
  <c r="U59" i="12"/>
  <c r="U60" i="12"/>
  <c r="U61" i="12"/>
  <c r="U63" i="12"/>
  <c r="U64" i="12"/>
  <c r="U65" i="12"/>
  <c r="U66" i="12"/>
  <c r="U68" i="12"/>
  <c r="U69" i="12"/>
  <c r="U70" i="12"/>
  <c r="U71" i="12"/>
  <c r="U73" i="12"/>
  <c r="U74" i="12"/>
  <c r="U75" i="12"/>
  <c r="U76" i="12"/>
  <c r="U78" i="12"/>
  <c r="U79" i="12"/>
  <c r="U80" i="12"/>
  <c r="B2" i="27" a="1"/>
  <c r="B2" i="27" s="1"/>
  <c r="B3" i="27" a="1"/>
  <c r="B3" i="27" s="1"/>
  <c r="B4" i="27" a="1"/>
  <c r="B4" i="27" s="1"/>
  <c r="B5" i="27" a="1"/>
  <c r="B5" i="27" s="1"/>
  <c r="B6" i="27" a="1"/>
  <c r="B6" i="27" s="1"/>
  <c r="B7" i="27" a="1"/>
  <c r="B7" i="27"/>
  <c r="B8" i="27" a="1"/>
  <c r="B8" i="27"/>
  <c r="B9" i="27" a="1"/>
  <c r="B9" i="27"/>
  <c r="B10" i="27" a="1"/>
  <c r="B10" i="27" s="1"/>
  <c r="B11" i="27" a="1"/>
  <c r="B11" i="27" s="1"/>
  <c r="B12" i="27" a="1"/>
  <c r="B12" i="27" s="1"/>
  <c r="B13" i="27" a="1"/>
  <c r="B13" i="27" s="1"/>
  <c r="B14" i="27" a="1"/>
  <c r="B14" i="27" s="1"/>
  <c r="B15" i="27" a="1"/>
  <c r="B15" i="27" s="1"/>
  <c r="B16" i="27" a="1"/>
  <c r="B16" i="27"/>
  <c r="B17" i="27" a="1"/>
  <c r="B17" i="27"/>
  <c r="B18" i="27" a="1"/>
  <c r="B18" i="27" s="1"/>
  <c r="B19" i="27" a="1"/>
  <c r="B19" i="27" s="1"/>
  <c r="B20" i="27" a="1"/>
  <c r="B20" i="27" s="1"/>
  <c r="B21" i="27" a="1"/>
  <c r="B21" i="27" s="1"/>
  <c r="B22" i="27" a="1"/>
  <c r="B22" i="27" s="1"/>
  <c r="B23" i="27" a="1"/>
  <c r="B23" i="27" s="1"/>
  <c r="B24" i="27" a="1"/>
  <c r="B24" i="27" s="1"/>
  <c r="B25" i="27" a="1"/>
  <c r="B25" i="27"/>
  <c r="B26" i="27" a="1"/>
  <c r="B26" i="27" s="1"/>
  <c r="B27" i="27" a="1"/>
  <c r="B27" i="27" s="1"/>
  <c r="B28" i="27" a="1"/>
  <c r="B28" i="27" s="1"/>
  <c r="B29" i="27" a="1"/>
  <c r="B29" i="27" s="1"/>
  <c r="B30" i="27" a="1"/>
  <c r="B30" i="27" s="1"/>
  <c r="B31" i="27" a="1"/>
  <c r="B31" i="27" s="1"/>
  <c r="B32" i="27" a="1"/>
  <c r="B32" i="27"/>
  <c r="B33" i="27" a="1"/>
  <c r="B33" i="27" s="1"/>
  <c r="B34" i="27" a="1"/>
  <c r="B34" i="27" s="1"/>
  <c r="B35" i="27" a="1"/>
  <c r="B35" i="27" s="1"/>
  <c r="B36" i="27" a="1"/>
  <c r="B36" i="27" s="1"/>
  <c r="B37" i="27" a="1"/>
  <c r="B37" i="27" s="1"/>
  <c r="B38" i="27" a="1"/>
  <c r="B38" i="27" s="1"/>
  <c r="B39" i="27" a="1"/>
  <c r="B39" i="27" s="1"/>
  <c r="B40" i="27" a="1"/>
  <c r="B40" i="27"/>
  <c r="B41" i="27" a="1"/>
  <c r="B41" i="27" s="1"/>
  <c r="B42" i="27" a="1"/>
  <c r="B42" i="27" s="1"/>
  <c r="B43" i="27" a="1"/>
  <c r="B43" i="27" s="1"/>
  <c r="B44" i="27" a="1"/>
  <c r="B44" i="27" s="1"/>
  <c r="B45" i="27" a="1"/>
  <c r="B45" i="27" s="1"/>
  <c r="B46" i="27" a="1"/>
  <c r="B46" i="27" s="1"/>
  <c r="B47" i="27" a="1"/>
  <c r="B47" i="27" s="1"/>
  <c r="B48" i="27" a="1"/>
  <c r="B48" i="27"/>
  <c r="B49" i="27" a="1"/>
  <c r="B49" i="27" s="1"/>
  <c r="B50" i="27" a="1"/>
  <c r="B50" i="27" s="1"/>
  <c r="B51" i="27" a="1"/>
  <c r="B51" i="27" s="1"/>
  <c r="B52" i="27" a="1"/>
  <c r="B52" i="27" s="1"/>
  <c r="B53" i="27" a="1"/>
  <c r="B53" i="27" s="1"/>
  <c r="B54" i="27" a="1"/>
  <c r="B54" i="27" s="1"/>
  <c r="B55" i="27" a="1"/>
  <c r="B55" i="27" s="1"/>
  <c r="B56" i="27" a="1"/>
  <c r="B56" i="27"/>
  <c r="B57" i="27" a="1"/>
  <c r="B57" i="27" s="1"/>
  <c r="B58" i="27" a="1"/>
  <c r="B58" i="27" s="1"/>
  <c r="B59" i="27" a="1"/>
  <c r="B59" i="27" s="1"/>
  <c r="B60" i="27" a="1"/>
  <c r="B60" i="27" s="1"/>
  <c r="B61" i="27" a="1"/>
  <c r="B61" i="27" s="1"/>
  <c r="B62" i="27" a="1"/>
  <c r="B62" i="27" s="1"/>
  <c r="B63" i="27" a="1"/>
  <c r="B63" i="27" s="1"/>
  <c r="B64" i="27" a="1"/>
  <c r="B64" i="27"/>
  <c r="B65" i="27" a="1"/>
  <c r="B65" i="27" s="1"/>
  <c r="B66" i="27" a="1"/>
  <c r="B66" i="27" s="1"/>
  <c r="B67" i="27" a="1"/>
  <c r="B67" i="27" s="1"/>
  <c r="B68" i="27" a="1"/>
  <c r="B68" i="27" s="1"/>
  <c r="B69" i="27" a="1"/>
  <c r="B69" i="27" s="1"/>
  <c r="B70" i="27" a="1"/>
  <c r="B70" i="27" s="1"/>
  <c r="B71" i="27" a="1"/>
  <c r="B71" i="27" s="1"/>
  <c r="B72" i="27" a="1"/>
  <c r="B72" i="27"/>
  <c r="B73" i="27" a="1"/>
  <c r="B73" i="27" s="1"/>
  <c r="B74" i="27" a="1"/>
  <c r="B74" i="27" s="1"/>
  <c r="B75" i="27" a="1"/>
  <c r="B75" i="27" s="1"/>
  <c r="B76" i="27" a="1"/>
  <c r="B76" i="27" s="1"/>
  <c r="B77" i="27" a="1"/>
  <c r="B77" i="27" s="1"/>
  <c r="B78" i="27" a="1"/>
  <c r="B78" i="27" s="1"/>
  <c r="B79" i="27" a="1"/>
  <c r="B79" i="27" s="1"/>
  <c r="B1" i="27" a="1"/>
  <c r="B1" i="27" s="1"/>
  <c r="F3" i="12"/>
  <c r="F4" i="12"/>
  <c r="F5" i="12"/>
  <c r="F6" i="12"/>
  <c r="F7" i="12"/>
  <c r="F8" i="12"/>
  <c r="F9" i="1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2" i="12"/>
  <c r="C2" i="26"/>
  <c r="C3" i="26"/>
  <c r="C4" i="26"/>
  <c r="C5" i="26"/>
  <c r="C6" i="26"/>
  <c r="C7" i="26"/>
  <c r="B8" i="26"/>
  <c r="C8" i="26" s="1"/>
  <c r="B9" i="26"/>
  <c r="C9" i="26"/>
  <c r="B19" i="22"/>
  <c r="C19" i="22" s="1"/>
  <c r="B18" i="22"/>
  <c r="C18" i="22" s="1"/>
  <c r="M33" i="9"/>
  <c r="P56" i="23"/>
  <c r="J56" i="23"/>
  <c r="I56" i="23"/>
  <c r="H56" i="23"/>
  <c r="O56" i="23" s="1"/>
  <c r="D56" i="23"/>
  <c r="O55" i="23"/>
  <c r="M55" i="23"/>
  <c r="K55" i="23"/>
  <c r="J55" i="23"/>
  <c r="P55" i="23" s="1"/>
  <c r="I55" i="23"/>
  <c r="H55" i="23"/>
  <c r="D55" i="23"/>
  <c r="J54" i="23"/>
  <c r="I54" i="23"/>
  <c r="L54" i="23" s="1"/>
  <c r="H54" i="23"/>
  <c r="P54" i="23" s="1"/>
  <c r="D54" i="23"/>
  <c r="G53" i="23"/>
  <c r="J53" i="23" s="1"/>
  <c r="F53" i="23"/>
  <c r="I53" i="23" s="1"/>
  <c r="E53" i="23"/>
  <c r="H53" i="23" s="1"/>
  <c r="D53" i="23"/>
  <c r="P52" i="23"/>
  <c r="O52" i="23"/>
  <c r="N52" i="23"/>
  <c r="M52" i="23"/>
  <c r="L52" i="23"/>
  <c r="K52" i="23"/>
  <c r="J52" i="23"/>
  <c r="I52" i="23"/>
  <c r="H52" i="23"/>
  <c r="D52" i="23"/>
  <c r="J51" i="23"/>
  <c r="I51" i="23"/>
  <c r="H51" i="23"/>
  <c r="P51" i="23" s="1"/>
  <c r="D51" i="23"/>
  <c r="P50" i="23"/>
  <c r="O50" i="23"/>
  <c r="L50" i="23"/>
  <c r="J50" i="23"/>
  <c r="I50" i="23"/>
  <c r="H50" i="23"/>
  <c r="N50" i="23" s="1"/>
  <c r="D50" i="23"/>
  <c r="J49" i="23"/>
  <c r="N49" i="23" s="1"/>
  <c r="I49" i="23"/>
  <c r="P49" i="23" s="1"/>
  <c r="H49" i="23"/>
  <c r="D49" i="23"/>
  <c r="H48" i="23"/>
  <c r="G48" i="23"/>
  <c r="J48" i="23" s="1"/>
  <c r="F48" i="23"/>
  <c r="I48" i="23" s="1"/>
  <c r="E48" i="23"/>
  <c r="V12" i="23" s="1"/>
  <c r="X12" i="23" s="1"/>
  <c r="D48" i="23"/>
  <c r="J47" i="23"/>
  <c r="I47" i="23"/>
  <c r="H47" i="23"/>
  <c r="P47" i="23" s="1"/>
  <c r="D47" i="23"/>
  <c r="O46" i="23"/>
  <c r="M46" i="23"/>
  <c r="K46" i="23"/>
  <c r="J46" i="23"/>
  <c r="P46" i="23" s="1"/>
  <c r="I46" i="23"/>
  <c r="H46" i="23"/>
  <c r="D46" i="23"/>
  <c r="J45" i="23"/>
  <c r="I45" i="23"/>
  <c r="L45" i="23" s="1"/>
  <c r="H45" i="23"/>
  <c r="P45" i="23" s="1"/>
  <c r="D45" i="23"/>
  <c r="P44" i="23"/>
  <c r="O44" i="23"/>
  <c r="N44" i="23"/>
  <c r="K44" i="23"/>
  <c r="J44" i="23"/>
  <c r="I44" i="23"/>
  <c r="H44" i="23"/>
  <c r="M44" i="23" s="1"/>
  <c r="D44" i="23"/>
  <c r="J43" i="23"/>
  <c r="I43" i="23"/>
  <c r="P43" i="23" s="1"/>
  <c r="H43" i="23"/>
  <c r="O43" i="23" s="1"/>
  <c r="G43" i="23"/>
  <c r="F43" i="23"/>
  <c r="E43" i="23"/>
  <c r="D43" i="23"/>
  <c r="J42" i="23"/>
  <c r="I42" i="23"/>
  <c r="H42" i="23"/>
  <c r="M42" i="23" s="1"/>
  <c r="D42" i="23"/>
  <c r="P41" i="23"/>
  <c r="O41" i="23"/>
  <c r="J41" i="23"/>
  <c r="I41" i="23"/>
  <c r="H41" i="23"/>
  <c r="N41" i="23" s="1"/>
  <c r="D41" i="23"/>
  <c r="J40" i="23"/>
  <c r="N40" i="23" s="1"/>
  <c r="I40" i="23"/>
  <c r="P40" i="23" s="1"/>
  <c r="H40" i="23"/>
  <c r="D40" i="23"/>
  <c r="J39" i="23"/>
  <c r="I39" i="23"/>
  <c r="H39" i="23"/>
  <c r="P39" i="23" s="1"/>
  <c r="D39" i="23"/>
  <c r="J38" i="23"/>
  <c r="G38" i="23"/>
  <c r="F38" i="23"/>
  <c r="I38" i="23" s="1"/>
  <c r="E38" i="23"/>
  <c r="H38" i="23" s="1"/>
  <c r="D38" i="23"/>
  <c r="M37" i="23"/>
  <c r="K37" i="23"/>
  <c r="J37" i="23"/>
  <c r="I37" i="23"/>
  <c r="H37" i="23"/>
  <c r="P37" i="23" s="1"/>
  <c r="D37" i="23"/>
  <c r="J36" i="23"/>
  <c r="I36" i="23"/>
  <c r="L36" i="23" s="1"/>
  <c r="H36" i="23"/>
  <c r="P36" i="23" s="1"/>
  <c r="D36" i="23"/>
  <c r="P35" i="23"/>
  <c r="O35" i="23"/>
  <c r="N35" i="23"/>
  <c r="L35" i="23"/>
  <c r="K35" i="23"/>
  <c r="J35" i="23"/>
  <c r="I35" i="23"/>
  <c r="H35" i="23"/>
  <c r="M35" i="23" s="1"/>
  <c r="D35" i="23"/>
  <c r="J34" i="23"/>
  <c r="I34" i="23"/>
  <c r="M34" i="23" s="1"/>
  <c r="H34" i="23"/>
  <c r="P34" i="23" s="1"/>
  <c r="D34" i="23"/>
  <c r="G33" i="23"/>
  <c r="J33" i="23" s="1"/>
  <c r="F33" i="23"/>
  <c r="I33" i="23" s="1"/>
  <c r="E33" i="23"/>
  <c r="H33" i="23" s="1"/>
  <c r="D33" i="23"/>
  <c r="P32" i="23"/>
  <c r="O32" i="23"/>
  <c r="M32" i="23"/>
  <c r="J32" i="23"/>
  <c r="I32" i="23"/>
  <c r="H32" i="23"/>
  <c r="N32" i="23" s="1"/>
  <c r="D32" i="23"/>
  <c r="J31" i="23"/>
  <c r="N31" i="23" s="1"/>
  <c r="I31" i="23"/>
  <c r="P31" i="23" s="1"/>
  <c r="H31" i="23"/>
  <c r="D31" i="23"/>
  <c r="J30" i="23"/>
  <c r="I30" i="23"/>
  <c r="H30" i="23"/>
  <c r="P30" i="23" s="1"/>
  <c r="D30" i="23"/>
  <c r="P29" i="23"/>
  <c r="O29" i="23"/>
  <c r="N29" i="23"/>
  <c r="M29" i="23"/>
  <c r="K29" i="23"/>
  <c r="J29" i="23"/>
  <c r="L29" i="23" s="1"/>
  <c r="I29" i="23"/>
  <c r="H29" i="23"/>
  <c r="D29" i="23"/>
  <c r="J28" i="23"/>
  <c r="I28" i="23"/>
  <c r="H28" i="23"/>
  <c r="P28" i="23" s="1"/>
  <c r="G28" i="23"/>
  <c r="F28" i="23"/>
  <c r="E28" i="23"/>
  <c r="V8" i="23" s="1"/>
  <c r="X8" i="23" s="1"/>
  <c r="D28" i="23"/>
  <c r="J27" i="23"/>
  <c r="I27" i="23"/>
  <c r="L27" i="23" s="1"/>
  <c r="H27" i="23"/>
  <c r="P27" i="23" s="1"/>
  <c r="D27" i="23"/>
  <c r="P26" i="23"/>
  <c r="O26" i="23"/>
  <c r="N26" i="23"/>
  <c r="L26" i="23"/>
  <c r="J26" i="23"/>
  <c r="I26" i="23"/>
  <c r="H26" i="23"/>
  <c r="M26" i="23" s="1"/>
  <c r="D26" i="23"/>
  <c r="J25" i="23"/>
  <c r="I25" i="23"/>
  <c r="M25" i="23" s="1"/>
  <c r="H25" i="23"/>
  <c r="P25" i="23" s="1"/>
  <c r="D25" i="23"/>
  <c r="P24" i="23"/>
  <c r="J24" i="23"/>
  <c r="I24" i="23"/>
  <c r="L24" i="23" s="1"/>
  <c r="H24" i="23"/>
  <c r="O24" i="23" s="1"/>
  <c r="D24" i="23"/>
  <c r="J23" i="23"/>
  <c r="G23" i="23"/>
  <c r="F23" i="23"/>
  <c r="I23" i="23" s="1"/>
  <c r="E23" i="23"/>
  <c r="H23" i="23" s="1"/>
  <c r="D23" i="23"/>
  <c r="J22" i="23"/>
  <c r="N22" i="23" s="1"/>
  <c r="I22" i="23"/>
  <c r="P22" i="23" s="1"/>
  <c r="H22" i="23"/>
  <c r="D22" i="23"/>
  <c r="J21" i="23"/>
  <c r="I21" i="23"/>
  <c r="H21" i="23"/>
  <c r="P21" i="23" s="1"/>
  <c r="D21" i="23"/>
  <c r="P20" i="23"/>
  <c r="O20" i="23"/>
  <c r="N20" i="23"/>
  <c r="M20" i="23"/>
  <c r="K20" i="23"/>
  <c r="J20" i="23"/>
  <c r="L20" i="23" s="1"/>
  <c r="I20" i="23"/>
  <c r="H20" i="23"/>
  <c r="D20" i="23"/>
  <c r="J19" i="23"/>
  <c r="I19" i="23"/>
  <c r="H19" i="23"/>
  <c r="O19" i="23" s="1"/>
  <c r="D19" i="23"/>
  <c r="J18" i="23"/>
  <c r="G18" i="23"/>
  <c r="F18" i="23"/>
  <c r="I18" i="23" s="1"/>
  <c r="E18" i="23"/>
  <c r="V6" i="23" s="1"/>
  <c r="X6" i="23" s="1"/>
  <c r="D18" i="23"/>
  <c r="P17" i="23"/>
  <c r="O17" i="23"/>
  <c r="N17" i="23"/>
  <c r="L17" i="23"/>
  <c r="J17" i="23"/>
  <c r="I17" i="23"/>
  <c r="H17" i="23"/>
  <c r="M17" i="23" s="1"/>
  <c r="D17" i="23"/>
  <c r="J16" i="23"/>
  <c r="I16" i="23"/>
  <c r="M16" i="23" s="1"/>
  <c r="H16" i="23"/>
  <c r="P16" i="23" s="1"/>
  <c r="D16" i="23"/>
  <c r="P15" i="23"/>
  <c r="J15" i="23"/>
  <c r="I15" i="23"/>
  <c r="L15" i="23" s="1"/>
  <c r="H15" i="23"/>
  <c r="O15" i="23" s="1"/>
  <c r="D15" i="23"/>
  <c r="O14" i="23"/>
  <c r="M14" i="23"/>
  <c r="J14" i="23"/>
  <c r="L14" i="23" s="1"/>
  <c r="I14" i="23"/>
  <c r="H14" i="23"/>
  <c r="D14" i="23"/>
  <c r="V13" i="23"/>
  <c r="X13" i="23" s="1"/>
  <c r="J13" i="23"/>
  <c r="I13" i="23"/>
  <c r="M13" i="23" s="1"/>
  <c r="H13" i="23"/>
  <c r="P13" i="23" s="1"/>
  <c r="G13" i="23"/>
  <c r="F13" i="23"/>
  <c r="E13" i="23"/>
  <c r="D13" i="23"/>
  <c r="J12" i="23"/>
  <c r="I12" i="23"/>
  <c r="H12" i="23"/>
  <c r="O12" i="23" s="1"/>
  <c r="D12" i="23"/>
  <c r="V11" i="23"/>
  <c r="X11" i="23" s="1"/>
  <c r="J11" i="23"/>
  <c r="I11" i="23"/>
  <c r="H11" i="23"/>
  <c r="P11" i="23" s="1"/>
  <c r="D11" i="23"/>
  <c r="X10" i="23"/>
  <c r="V10" i="23"/>
  <c r="P10" i="23"/>
  <c r="O10" i="23"/>
  <c r="M10" i="23"/>
  <c r="J10" i="23"/>
  <c r="I10" i="23"/>
  <c r="H10" i="23"/>
  <c r="N10" i="23" s="1"/>
  <c r="D10" i="23"/>
  <c r="P9" i="23"/>
  <c r="N9" i="23"/>
  <c r="L9" i="23"/>
  <c r="K9" i="23"/>
  <c r="J9" i="23"/>
  <c r="I9" i="23"/>
  <c r="O9" i="23" s="1"/>
  <c r="H9" i="23"/>
  <c r="D9" i="23"/>
  <c r="J8" i="23"/>
  <c r="I8" i="23"/>
  <c r="H8" i="23"/>
  <c r="O8" i="23" s="1"/>
  <c r="G8" i="23"/>
  <c r="F8" i="23"/>
  <c r="E8" i="23"/>
  <c r="V3" i="23" s="1"/>
  <c r="D8" i="23"/>
  <c r="V7" i="23"/>
  <c r="X7" i="23" s="1"/>
  <c r="J7" i="23"/>
  <c r="I7" i="23"/>
  <c r="N7" i="23" s="1"/>
  <c r="H7" i="23"/>
  <c r="P7" i="23" s="1"/>
  <c r="D7" i="23"/>
  <c r="P6" i="23"/>
  <c r="J6" i="23"/>
  <c r="I6" i="23"/>
  <c r="O6" i="23" s="1"/>
  <c r="H6" i="23"/>
  <c r="D6" i="23"/>
  <c r="V5" i="23"/>
  <c r="X5" i="23" s="1"/>
  <c r="P5" i="23"/>
  <c r="O5" i="23"/>
  <c r="N5" i="23"/>
  <c r="L5" i="23"/>
  <c r="J5" i="23"/>
  <c r="I5" i="23"/>
  <c r="H5" i="23"/>
  <c r="M5" i="23" s="1"/>
  <c r="D5" i="23"/>
  <c r="J4" i="23"/>
  <c r="L4" i="23" s="1"/>
  <c r="I4" i="23"/>
  <c r="P4" i="23" s="1"/>
  <c r="H4" i="23"/>
  <c r="O4" i="23" s="1"/>
  <c r="D4" i="23"/>
  <c r="J3" i="23"/>
  <c r="H3" i="23"/>
  <c r="G3" i="23"/>
  <c r="F3" i="23"/>
  <c r="I3" i="23" s="1"/>
  <c r="E3" i="23"/>
  <c r="V2" i="23" s="1"/>
  <c r="X2" i="23" s="1"/>
  <c r="D3" i="23"/>
  <c r="J2" i="23"/>
  <c r="I2" i="23"/>
  <c r="L2" i="23" s="1"/>
  <c r="H2" i="23"/>
  <c r="P2" i="23" s="1"/>
  <c r="D2" i="23"/>
  <c r="C13" i="22"/>
  <c r="C12" i="22"/>
  <c r="C11" i="22"/>
  <c r="C10" i="22"/>
  <c r="C9" i="22"/>
  <c r="C8" i="22"/>
  <c r="C17" i="22"/>
  <c r="C16" i="22"/>
  <c r="C15" i="22"/>
  <c r="C4" i="22"/>
  <c r="C5" i="22"/>
  <c r="C6" i="22"/>
  <c r="C7" i="22"/>
  <c r="C14" i="22"/>
  <c r="C3" i="22"/>
  <c r="C2" i="22"/>
  <c r="E2" i="3"/>
  <c r="M3" i="23" l="1"/>
  <c r="P48" i="23"/>
  <c r="L23" i="23"/>
  <c r="K23" i="23"/>
  <c r="M23" i="23"/>
  <c r="P23" i="23"/>
  <c r="O23" i="23"/>
  <c r="N23" i="23"/>
  <c r="M38" i="23"/>
  <c r="L38" i="23"/>
  <c r="K38" i="23"/>
  <c r="P38" i="23"/>
  <c r="O38" i="23"/>
  <c r="N38" i="23"/>
  <c r="X3" i="23"/>
  <c r="V4" i="23"/>
  <c r="N53" i="23"/>
  <c r="M53" i="23"/>
  <c r="L53" i="23"/>
  <c r="K53" i="23"/>
  <c r="P53" i="23"/>
  <c r="O53" i="23"/>
  <c r="P33" i="23"/>
  <c r="O33" i="23"/>
  <c r="N33" i="23"/>
  <c r="M33" i="23"/>
  <c r="L33" i="23"/>
  <c r="K33" i="23"/>
  <c r="K4" i="23"/>
  <c r="M9" i="23"/>
  <c r="N14" i="23"/>
  <c r="K22" i="23"/>
  <c r="K31" i="23"/>
  <c r="L37" i="23"/>
  <c r="K40" i="23"/>
  <c r="L46" i="23"/>
  <c r="K49" i="23"/>
  <c r="L55" i="23"/>
  <c r="L22" i="23"/>
  <c r="K25" i="23"/>
  <c r="L31" i="23"/>
  <c r="K34" i="23"/>
  <c r="L40" i="23"/>
  <c r="K43" i="23"/>
  <c r="L49" i="23"/>
  <c r="M4" i="23"/>
  <c r="K8" i="23"/>
  <c r="K12" i="23"/>
  <c r="L13" i="23"/>
  <c r="P14" i="23"/>
  <c r="L16" i="23"/>
  <c r="K19" i="23"/>
  <c r="M22" i="23"/>
  <c r="L25" i="23"/>
  <c r="K28" i="23"/>
  <c r="M31" i="23"/>
  <c r="L34" i="23"/>
  <c r="N37" i="23"/>
  <c r="M40" i="23"/>
  <c r="L43" i="23"/>
  <c r="N46" i="23"/>
  <c r="M49" i="23"/>
  <c r="N55" i="23"/>
  <c r="K16" i="23"/>
  <c r="K7" i="23"/>
  <c r="L19" i="23"/>
  <c r="O37" i="23"/>
  <c r="M43" i="23"/>
  <c r="K3" i="23"/>
  <c r="L7" i="23"/>
  <c r="M8" i="23"/>
  <c r="V9" i="23"/>
  <c r="X9" i="23" s="1"/>
  <c r="M12" i="23"/>
  <c r="N13" i="23"/>
  <c r="N16" i="23"/>
  <c r="M19" i="23"/>
  <c r="O22" i="23"/>
  <c r="N25" i="23"/>
  <c r="M28" i="23"/>
  <c r="O31" i="23"/>
  <c r="N34" i="23"/>
  <c r="O40" i="23"/>
  <c r="K42" i="23"/>
  <c r="N43" i="23"/>
  <c r="O49" i="23"/>
  <c r="K51" i="23"/>
  <c r="K13" i="23"/>
  <c r="N4" i="23"/>
  <c r="L8" i="23"/>
  <c r="L12" i="23"/>
  <c r="L28" i="23"/>
  <c r="K2" i="23"/>
  <c r="L3" i="23"/>
  <c r="M7" i="23"/>
  <c r="N8" i="23"/>
  <c r="N12" i="23"/>
  <c r="O13" i="23"/>
  <c r="O16" i="23"/>
  <c r="H18" i="23"/>
  <c r="N19" i="23"/>
  <c r="O25" i="23"/>
  <c r="K27" i="23"/>
  <c r="N28" i="23"/>
  <c r="O34" i="23"/>
  <c r="K36" i="23"/>
  <c r="L42" i="23"/>
  <c r="K45" i="23"/>
  <c r="L51" i="23"/>
  <c r="K54" i="23"/>
  <c r="K11" i="23"/>
  <c r="O28" i="23"/>
  <c r="K30" i="23"/>
  <c r="K39" i="23"/>
  <c r="K48" i="23"/>
  <c r="M51" i="23"/>
  <c r="M2" i="23"/>
  <c r="N3" i="23"/>
  <c r="K6" i="23"/>
  <c r="O7" i="23"/>
  <c r="P8" i="23"/>
  <c r="L11" i="23"/>
  <c r="P12" i="23"/>
  <c r="K15" i="23"/>
  <c r="P19" i="23"/>
  <c r="L21" i="23"/>
  <c r="K24" i="23"/>
  <c r="M27" i="23"/>
  <c r="L30" i="23"/>
  <c r="M36" i="23"/>
  <c r="L39" i="23"/>
  <c r="N42" i="23"/>
  <c r="M45" i="23"/>
  <c r="L48" i="23"/>
  <c r="N51" i="23"/>
  <c r="M54" i="23"/>
  <c r="N2" i="23"/>
  <c r="O3" i="23"/>
  <c r="L6" i="23"/>
  <c r="M11" i="23"/>
  <c r="M21" i="23"/>
  <c r="N27" i="23"/>
  <c r="M30" i="23"/>
  <c r="N36" i="23"/>
  <c r="M39" i="23"/>
  <c r="O42" i="23"/>
  <c r="N45" i="23"/>
  <c r="M48" i="23"/>
  <c r="O51" i="23"/>
  <c r="N54" i="23"/>
  <c r="O2" i="23"/>
  <c r="P3" i="23"/>
  <c r="M6" i="23"/>
  <c r="N11" i="23"/>
  <c r="M15" i="23"/>
  <c r="N21" i="23"/>
  <c r="M24" i="23"/>
  <c r="O27" i="23"/>
  <c r="N30" i="23"/>
  <c r="O36" i="23"/>
  <c r="N39" i="23"/>
  <c r="P42" i="23"/>
  <c r="O45" i="23"/>
  <c r="K47" i="23"/>
  <c r="N48" i="23"/>
  <c r="O54" i="23"/>
  <c r="K56" i="23"/>
  <c r="N6" i="23"/>
  <c r="K10" i="23"/>
  <c r="O11" i="23"/>
  <c r="N15" i="23"/>
  <c r="O21" i="23"/>
  <c r="N24" i="23"/>
  <c r="O30" i="23"/>
  <c r="K32" i="23"/>
  <c r="O39" i="23"/>
  <c r="K41" i="23"/>
  <c r="L47" i="23"/>
  <c r="O48" i="23"/>
  <c r="K50" i="23"/>
  <c r="L56" i="23"/>
  <c r="K21" i="23"/>
  <c r="K5" i="23"/>
  <c r="L10" i="23"/>
  <c r="K17" i="23"/>
  <c r="K26" i="23"/>
  <c r="L32" i="23"/>
  <c r="L41" i="23"/>
  <c r="M47" i="23"/>
  <c r="M56" i="23"/>
  <c r="M41" i="23"/>
  <c r="L44" i="23"/>
  <c r="N47" i="23"/>
  <c r="M50" i="23"/>
  <c r="N56" i="23"/>
  <c r="K14" i="23"/>
  <c r="O47" i="23"/>
  <c r="T59" i="19"/>
  <c r="W51" i="19"/>
  <c r="Z51" i="19" s="1"/>
  <c r="X54" i="19"/>
  <c r="Y54" i="19"/>
  <c r="X55" i="19"/>
  <c r="Y55" i="19"/>
  <c r="F12" i="20"/>
  <c r="F11" i="20"/>
  <c r="C11" i="20"/>
  <c r="K7" i="20"/>
  <c r="K11" i="20" s="1"/>
  <c r="K3" i="20"/>
  <c r="AD23" i="18"/>
  <c r="AA28" i="18"/>
  <c r="Y23" i="18"/>
  <c r="AB23" i="18" s="1"/>
  <c r="V23" i="18"/>
  <c r="W23" i="18" s="1"/>
  <c r="AA27" i="18"/>
  <c r="AA26" i="18"/>
  <c r="AA25" i="18"/>
  <c r="AA24" i="18"/>
  <c r="AA23" i="18"/>
  <c r="P18" i="23" l="1"/>
  <c r="O18" i="23"/>
  <c r="N18" i="23"/>
  <c r="M18" i="23"/>
  <c r="L18" i="23"/>
  <c r="K18" i="23"/>
  <c r="Z23" i="18"/>
  <c r="AC23" i="18" s="1"/>
  <c r="M11" i="20"/>
  <c r="L11" i="20"/>
  <c r="D8" i="16" l="1"/>
  <c r="D9" i="16"/>
  <c r="D10" i="16"/>
  <c r="D11" i="16"/>
  <c r="D12" i="16"/>
  <c r="E121" i="1"/>
  <c r="E120" i="1"/>
  <c r="E111" i="1"/>
  <c r="E110" i="1"/>
  <c r="E106" i="1"/>
  <c r="E105" i="1"/>
  <c r="E104" i="1"/>
  <c r="E103" i="1"/>
  <c r="E102" i="1"/>
  <c r="E98" i="1"/>
  <c r="E97" i="1"/>
  <c r="E96" i="1"/>
  <c r="E95" i="1"/>
  <c r="E94" i="1"/>
  <c r="E93" i="1"/>
  <c r="E92" i="1"/>
  <c r="E91" i="1"/>
  <c r="E90" i="1"/>
  <c r="E89" i="1"/>
  <c r="E88" i="1"/>
  <c r="E87" i="1"/>
  <c r="E86" i="1"/>
  <c r="E85" i="1"/>
  <c r="E84" i="1"/>
  <c r="E83" i="1"/>
  <c r="E82" i="1"/>
  <c r="E81" i="1"/>
  <c r="E80" i="1"/>
  <c r="E79" i="1"/>
  <c r="E78" i="1"/>
  <c r="E77" i="1"/>
  <c r="E76" i="1"/>
  <c r="E75" i="1"/>
  <c r="E74" i="1"/>
  <c r="E73" i="1"/>
  <c r="E72" i="1"/>
  <c r="E71" i="1"/>
  <c r="E70" i="1"/>
  <c r="E69" i="1"/>
  <c r="E68" i="1"/>
  <c r="E67" i="1"/>
  <c r="E66" i="1"/>
  <c r="E65" i="1"/>
  <c r="E64" i="1"/>
  <c r="E63" i="1"/>
  <c r="E62" i="1"/>
  <c r="E61" i="1"/>
  <c r="E60" i="1"/>
  <c r="E59" i="1"/>
  <c r="E58" i="1"/>
  <c r="E57" i="1"/>
  <c r="E56" i="1"/>
  <c r="E55" i="1"/>
  <c r="E54" i="1"/>
  <c r="E53" i="1"/>
  <c r="E52" i="1"/>
  <c r="E51" i="1"/>
  <c r="E50" i="1"/>
  <c r="E49" i="1"/>
  <c r="E48" i="1"/>
  <c r="E47" i="1"/>
  <c r="E46" i="1"/>
  <c r="E45" i="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E10" i="1"/>
  <c r="E9" i="1"/>
  <c r="E8" i="1"/>
  <c r="E7" i="1"/>
  <c r="E6" i="1"/>
  <c r="E5" i="1"/>
  <c r="E4" i="1"/>
  <c r="E3" i="1"/>
  <c r="E2" i="1"/>
  <c r="D7" i="16"/>
  <c r="D5" i="16"/>
  <c r="D6" i="16"/>
  <c r="D4" i="16"/>
  <c r="G3" i="16"/>
  <c r="H3" i="16"/>
  <c r="I3" i="16"/>
  <c r="J3" i="16"/>
  <c r="K3" i="16"/>
  <c r="F3" i="16"/>
  <c r="N49" i="11"/>
  <c r="M49" i="11"/>
  <c r="L49" i="11"/>
  <c r="G25" i="12"/>
  <c r="U25" i="12" s="1"/>
  <c r="N25" i="12"/>
  <c r="M25" i="12"/>
  <c r="G28" i="12"/>
  <c r="G29" i="12"/>
  <c r="G30" i="12"/>
  <c r="G31" i="12"/>
  <c r="G33" i="12"/>
  <c r="G34" i="12"/>
  <c r="G35" i="12"/>
  <c r="G36" i="12"/>
  <c r="G38" i="12"/>
  <c r="G39" i="12"/>
  <c r="G40" i="12"/>
  <c r="G41" i="12"/>
  <c r="G43" i="12"/>
  <c r="G44" i="12"/>
  <c r="G45" i="12"/>
  <c r="G46" i="12"/>
  <c r="G48" i="12"/>
  <c r="G49" i="12"/>
  <c r="G50" i="12"/>
  <c r="G51" i="12"/>
  <c r="G53" i="12"/>
  <c r="G54" i="12"/>
  <c r="G55" i="12"/>
  <c r="G56" i="12"/>
  <c r="G58" i="12"/>
  <c r="G59" i="12"/>
  <c r="G60" i="12"/>
  <c r="G61" i="12"/>
  <c r="G63" i="12"/>
  <c r="G64" i="12"/>
  <c r="G65" i="12"/>
  <c r="G66" i="12"/>
  <c r="G68" i="12"/>
  <c r="G69" i="12"/>
  <c r="G70" i="12"/>
  <c r="G71" i="12"/>
  <c r="G73" i="12"/>
  <c r="G74" i="12"/>
  <c r="G75" i="12"/>
  <c r="G76" i="12"/>
  <c r="G78" i="12"/>
  <c r="G79" i="12"/>
  <c r="G80" i="12"/>
  <c r="T80" i="12"/>
  <c r="S80" i="12"/>
  <c r="R80" i="12"/>
  <c r="Q80" i="12"/>
  <c r="P80" i="12"/>
  <c r="O80" i="12"/>
  <c r="T79" i="12"/>
  <c r="S79" i="12"/>
  <c r="R79" i="12"/>
  <c r="Q79" i="12"/>
  <c r="P79" i="12"/>
  <c r="O79" i="12"/>
  <c r="T78" i="12"/>
  <c r="S78" i="12"/>
  <c r="R78" i="12"/>
  <c r="Q78" i="12"/>
  <c r="P78" i="12"/>
  <c r="O78" i="12"/>
  <c r="T77" i="12"/>
  <c r="S77" i="12"/>
  <c r="R77" i="12"/>
  <c r="Q77" i="12"/>
  <c r="P77" i="12"/>
  <c r="O77" i="12"/>
  <c r="T76" i="12"/>
  <c r="S76" i="12"/>
  <c r="R76" i="12"/>
  <c r="Q76" i="12"/>
  <c r="P76" i="12"/>
  <c r="O76" i="12"/>
  <c r="T75" i="12"/>
  <c r="S75" i="12"/>
  <c r="R75" i="12"/>
  <c r="Q75" i="12"/>
  <c r="P75" i="12"/>
  <c r="O75" i="12"/>
  <c r="T74" i="12"/>
  <c r="S74" i="12"/>
  <c r="R74" i="12"/>
  <c r="Q74" i="12"/>
  <c r="P74" i="12"/>
  <c r="O74" i="12"/>
  <c r="T73" i="12"/>
  <c r="S73" i="12"/>
  <c r="R73" i="12"/>
  <c r="Q73" i="12"/>
  <c r="P73" i="12"/>
  <c r="O73" i="12"/>
  <c r="T72" i="12"/>
  <c r="S72" i="12"/>
  <c r="R72" i="12"/>
  <c r="Q72" i="12"/>
  <c r="P72" i="12"/>
  <c r="O72" i="12"/>
  <c r="T71" i="12"/>
  <c r="S71" i="12"/>
  <c r="R71" i="12"/>
  <c r="Q71" i="12"/>
  <c r="P71" i="12"/>
  <c r="O71" i="12"/>
  <c r="T70" i="12"/>
  <c r="S70" i="12"/>
  <c r="R70" i="12"/>
  <c r="Q70" i="12"/>
  <c r="P70" i="12"/>
  <c r="O70" i="12"/>
  <c r="T69" i="12"/>
  <c r="S69" i="12"/>
  <c r="R69" i="12"/>
  <c r="Q69" i="12"/>
  <c r="P69" i="12"/>
  <c r="O69" i="12"/>
  <c r="T68" i="12"/>
  <c r="S68" i="12"/>
  <c r="R68" i="12"/>
  <c r="Q68" i="12"/>
  <c r="P68" i="12"/>
  <c r="O68" i="12"/>
  <c r="T67" i="12"/>
  <c r="S67" i="12"/>
  <c r="R67" i="12"/>
  <c r="Q67" i="12"/>
  <c r="P67" i="12"/>
  <c r="O67" i="12"/>
  <c r="T66" i="12"/>
  <c r="S66" i="12"/>
  <c r="R66" i="12"/>
  <c r="Q66" i="12"/>
  <c r="P66" i="12"/>
  <c r="O66" i="12"/>
  <c r="T65" i="12"/>
  <c r="S65" i="12"/>
  <c r="R65" i="12"/>
  <c r="Q65" i="12"/>
  <c r="P65" i="12"/>
  <c r="O65" i="12"/>
  <c r="T64" i="12"/>
  <c r="S64" i="12"/>
  <c r="R64" i="12"/>
  <c r="Q64" i="12"/>
  <c r="P64" i="12"/>
  <c r="O64" i="12"/>
  <c r="T63" i="12"/>
  <c r="S63" i="12"/>
  <c r="R63" i="12"/>
  <c r="Q63" i="12"/>
  <c r="P63" i="12"/>
  <c r="O63" i="12"/>
  <c r="T62" i="12"/>
  <c r="S62" i="12"/>
  <c r="R62" i="12"/>
  <c r="Q62" i="12"/>
  <c r="P62" i="12"/>
  <c r="O62" i="12"/>
  <c r="T61" i="12"/>
  <c r="S61" i="12"/>
  <c r="R61" i="12"/>
  <c r="Q61" i="12"/>
  <c r="P61" i="12"/>
  <c r="O61" i="12"/>
  <c r="T60" i="12"/>
  <c r="S60" i="12"/>
  <c r="R60" i="12"/>
  <c r="Q60" i="12"/>
  <c r="P60" i="12"/>
  <c r="O60" i="12"/>
  <c r="T59" i="12"/>
  <c r="S59" i="12"/>
  <c r="R59" i="12"/>
  <c r="Q59" i="12"/>
  <c r="P59" i="12"/>
  <c r="O59" i="12"/>
  <c r="T58" i="12"/>
  <c r="S58" i="12"/>
  <c r="R58" i="12"/>
  <c r="Q58" i="12"/>
  <c r="P58" i="12"/>
  <c r="O58" i="12"/>
  <c r="T57" i="12"/>
  <c r="S57" i="12"/>
  <c r="R57" i="12"/>
  <c r="Q57" i="12"/>
  <c r="P57" i="12"/>
  <c r="O57" i="12"/>
  <c r="T56" i="12"/>
  <c r="S56" i="12"/>
  <c r="R56" i="12"/>
  <c r="Q56" i="12"/>
  <c r="P56" i="12"/>
  <c r="O56" i="12"/>
  <c r="T55" i="12"/>
  <c r="S55" i="12"/>
  <c r="R55" i="12"/>
  <c r="Q55" i="12"/>
  <c r="P55" i="12"/>
  <c r="O55" i="12"/>
  <c r="T54" i="12"/>
  <c r="S54" i="12"/>
  <c r="R54" i="12"/>
  <c r="Q54" i="12"/>
  <c r="P54" i="12"/>
  <c r="O54" i="12"/>
  <c r="T53" i="12"/>
  <c r="S53" i="12"/>
  <c r="R53" i="12"/>
  <c r="Q53" i="12"/>
  <c r="P53" i="12"/>
  <c r="O53" i="12"/>
  <c r="T52" i="12"/>
  <c r="S52" i="12"/>
  <c r="R52" i="12"/>
  <c r="Q52" i="12"/>
  <c r="P52" i="12"/>
  <c r="O52" i="12"/>
  <c r="T51" i="12"/>
  <c r="S51" i="12"/>
  <c r="R51" i="12"/>
  <c r="Q51" i="12"/>
  <c r="P51" i="12"/>
  <c r="O51" i="12"/>
  <c r="T50" i="12"/>
  <c r="S50" i="12"/>
  <c r="R50" i="12"/>
  <c r="Q50" i="12"/>
  <c r="P50" i="12"/>
  <c r="O50" i="12"/>
  <c r="T49" i="12"/>
  <c r="S49" i="12"/>
  <c r="R49" i="12"/>
  <c r="Q49" i="12"/>
  <c r="P49" i="12"/>
  <c r="O49" i="12"/>
  <c r="T48" i="12"/>
  <c r="S48" i="12"/>
  <c r="R48" i="12"/>
  <c r="Q48" i="12"/>
  <c r="P48" i="12"/>
  <c r="O48" i="12"/>
  <c r="T47" i="12"/>
  <c r="S47" i="12"/>
  <c r="R47" i="12"/>
  <c r="Q47" i="12"/>
  <c r="P47" i="12"/>
  <c r="O47" i="12"/>
  <c r="T46" i="12"/>
  <c r="S46" i="12"/>
  <c r="R46" i="12"/>
  <c r="Q46" i="12"/>
  <c r="P46" i="12"/>
  <c r="O46" i="12"/>
  <c r="T45" i="12"/>
  <c r="S45" i="12"/>
  <c r="R45" i="12"/>
  <c r="Q45" i="12"/>
  <c r="P45" i="12"/>
  <c r="O45" i="12"/>
  <c r="T44" i="12"/>
  <c r="S44" i="12"/>
  <c r="R44" i="12"/>
  <c r="Q44" i="12"/>
  <c r="P44" i="12"/>
  <c r="O44" i="12"/>
  <c r="T43" i="12"/>
  <c r="S43" i="12"/>
  <c r="R43" i="12"/>
  <c r="Q43" i="12"/>
  <c r="P43" i="12"/>
  <c r="O43" i="12"/>
  <c r="T42" i="12"/>
  <c r="S42" i="12"/>
  <c r="R42" i="12"/>
  <c r="Q42" i="12"/>
  <c r="P42" i="12"/>
  <c r="O42" i="12"/>
  <c r="T41" i="12"/>
  <c r="S41" i="12"/>
  <c r="R41" i="12"/>
  <c r="Q41" i="12"/>
  <c r="P41" i="12"/>
  <c r="O41" i="12"/>
  <c r="T40" i="12"/>
  <c r="S40" i="12"/>
  <c r="R40" i="12"/>
  <c r="Q40" i="12"/>
  <c r="P40" i="12"/>
  <c r="O40" i="12"/>
  <c r="T39" i="12"/>
  <c r="S39" i="12"/>
  <c r="R39" i="12"/>
  <c r="Q39" i="12"/>
  <c r="P39" i="12"/>
  <c r="O39" i="12"/>
  <c r="T38" i="12"/>
  <c r="S38" i="12"/>
  <c r="R38" i="12"/>
  <c r="Q38" i="12"/>
  <c r="P38" i="12"/>
  <c r="O38" i="12"/>
  <c r="T37" i="12"/>
  <c r="S37" i="12"/>
  <c r="R37" i="12"/>
  <c r="Q37" i="12"/>
  <c r="P37" i="12"/>
  <c r="O37" i="12"/>
  <c r="T36" i="12"/>
  <c r="S36" i="12"/>
  <c r="R36" i="12"/>
  <c r="Q36" i="12"/>
  <c r="P36" i="12"/>
  <c r="O36" i="12"/>
  <c r="T35" i="12"/>
  <c r="S35" i="12"/>
  <c r="R35" i="12"/>
  <c r="Q35" i="12"/>
  <c r="P35" i="12"/>
  <c r="O35" i="12"/>
  <c r="T34" i="12"/>
  <c r="S34" i="12"/>
  <c r="R34" i="12"/>
  <c r="Q34" i="12"/>
  <c r="P34" i="12"/>
  <c r="O34" i="12"/>
  <c r="T33" i="12"/>
  <c r="S33" i="12"/>
  <c r="R33" i="12"/>
  <c r="Q33" i="12"/>
  <c r="P33" i="12"/>
  <c r="O33" i="12"/>
  <c r="T32" i="12"/>
  <c r="S32" i="12"/>
  <c r="R32" i="12"/>
  <c r="Q32" i="12"/>
  <c r="P32" i="12"/>
  <c r="O32" i="12"/>
  <c r="T31" i="12"/>
  <c r="S31" i="12"/>
  <c r="R31" i="12"/>
  <c r="Q31" i="12"/>
  <c r="P31" i="12"/>
  <c r="O31" i="12"/>
  <c r="T30" i="12"/>
  <c r="S30" i="12"/>
  <c r="R30" i="12"/>
  <c r="Q30" i="12"/>
  <c r="P30" i="12"/>
  <c r="O30" i="12"/>
  <c r="T29" i="12"/>
  <c r="S29" i="12"/>
  <c r="R29" i="12"/>
  <c r="Q29" i="12"/>
  <c r="P29" i="12"/>
  <c r="O29" i="12"/>
  <c r="T28" i="12"/>
  <c r="S28" i="12"/>
  <c r="R28" i="12"/>
  <c r="Q28" i="12"/>
  <c r="P28" i="12"/>
  <c r="O28" i="12"/>
  <c r="T27" i="12"/>
  <c r="S27" i="12"/>
  <c r="R27" i="12"/>
  <c r="Q27" i="12"/>
  <c r="P27" i="12"/>
  <c r="O27" i="12"/>
  <c r="T26" i="12"/>
  <c r="S26" i="12"/>
  <c r="R26" i="12"/>
  <c r="Q26" i="12"/>
  <c r="P26" i="12"/>
  <c r="O26" i="12"/>
  <c r="J77" i="12"/>
  <c r="U77" i="12" s="1"/>
  <c r="J62" i="12"/>
  <c r="U62" i="12" s="1"/>
  <c r="J57" i="12"/>
  <c r="U57" i="12" s="1"/>
  <c r="J72" i="12"/>
  <c r="U72" i="12" s="1"/>
  <c r="J67" i="12"/>
  <c r="U67" i="12" s="1"/>
  <c r="J52" i="12"/>
  <c r="U52" i="12" s="1"/>
  <c r="J47" i="12"/>
  <c r="U47" i="12" s="1"/>
  <c r="J42" i="12"/>
  <c r="U42" i="12" s="1"/>
  <c r="J37" i="12"/>
  <c r="U37" i="12" s="1"/>
  <c r="J32" i="12"/>
  <c r="U32" i="12" s="1"/>
  <c r="J26" i="12"/>
  <c r="U26" i="12" s="1"/>
  <c r="O3" i="12"/>
  <c r="P3" i="12"/>
  <c r="Q3" i="12"/>
  <c r="R3" i="12"/>
  <c r="S3" i="12"/>
  <c r="T3" i="12"/>
  <c r="O4" i="12"/>
  <c r="P4" i="12"/>
  <c r="Q4" i="12"/>
  <c r="R4" i="12"/>
  <c r="S4" i="12"/>
  <c r="T4" i="12"/>
  <c r="O5" i="12"/>
  <c r="P5" i="12"/>
  <c r="Q5" i="12"/>
  <c r="R5" i="12"/>
  <c r="S5" i="12"/>
  <c r="T5" i="12"/>
  <c r="O6" i="12"/>
  <c r="P6" i="12"/>
  <c r="Q6" i="12"/>
  <c r="R6" i="12"/>
  <c r="S6" i="12"/>
  <c r="T6" i="12"/>
  <c r="O7" i="12"/>
  <c r="P7" i="12"/>
  <c r="Q7" i="12"/>
  <c r="R7" i="12"/>
  <c r="S7" i="12"/>
  <c r="T7" i="12"/>
  <c r="O8" i="12"/>
  <c r="P8" i="12"/>
  <c r="Q8" i="12"/>
  <c r="R8" i="12"/>
  <c r="S8" i="12"/>
  <c r="T8" i="12"/>
  <c r="O9" i="12"/>
  <c r="P9" i="12"/>
  <c r="Q9" i="12"/>
  <c r="R9" i="12"/>
  <c r="S9" i="12"/>
  <c r="T9" i="12"/>
  <c r="O10" i="12"/>
  <c r="P10" i="12"/>
  <c r="Q10" i="12"/>
  <c r="R10" i="12"/>
  <c r="S10" i="12"/>
  <c r="T10" i="12"/>
  <c r="O11" i="12"/>
  <c r="P11" i="12"/>
  <c r="Q11" i="12"/>
  <c r="R11" i="12"/>
  <c r="S11" i="12"/>
  <c r="T11" i="12"/>
  <c r="O12" i="12"/>
  <c r="P12" i="12"/>
  <c r="Q12" i="12"/>
  <c r="R12" i="12"/>
  <c r="S12" i="12"/>
  <c r="T12" i="12"/>
  <c r="O13" i="12"/>
  <c r="P13" i="12"/>
  <c r="Q13" i="12"/>
  <c r="R13" i="12"/>
  <c r="S13" i="12"/>
  <c r="T13" i="12"/>
  <c r="O14" i="12"/>
  <c r="P14" i="12"/>
  <c r="Q14" i="12"/>
  <c r="R14" i="12"/>
  <c r="S14" i="12"/>
  <c r="T14" i="12"/>
  <c r="O15" i="12"/>
  <c r="P15" i="12"/>
  <c r="Q15" i="12"/>
  <c r="R15" i="12"/>
  <c r="S15" i="12"/>
  <c r="T15" i="12"/>
  <c r="O16" i="12"/>
  <c r="P16" i="12"/>
  <c r="Q16" i="12"/>
  <c r="R16" i="12"/>
  <c r="S16" i="12"/>
  <c r="T16" i="12"/>
  <c r="O17" i="12"/>
  <c r="P17" i="12"/>
  <c r="Q17" i="12"/>
  <c r="R17" i="12"/>
  <c r="S17" i="12"/>
  <c r="T17" i="12"/>
  <c r="O18" i="12"/>
  <c r="P18" i="12"/>
  <c r="Q18" i="12"/>
  <c r="R18" i="12"/>
  <c r="S18" i="12"/>
  <c r="T18" i="12"/>
  <c r="O19" i="12"/>
  <c r="P19" i="12"/>
  <c r="Q19" i="12"/>
  <c r="R19" i="12"/>
  <c r="S19" i="12"/>
  <c r="T19" i="12"/>
  <c r="O20" i="12"/>
  <c r="P20" i="12"/>
  <c r="Q20" i="12"/>
  <c r="R20" i="12"/>
  <c r="S20" i="12"/>
  <c r="T20" i="12"/>
  <c r="O21" i="12"/>
  <c r="P21" i="12"/>
  <c r="Q21" i="12"/>
  <c r="R21" i="12"/>
  <c r="S21" i="12"/>
  <c r="T21" i="12"/>
  <c r="O22" i="12"/>
  <c r="P22" i="12"/>
  <c r="Q22" i="12"/>
  <c r="R22" i="12"/>
  <c r="S22" i="12"/>
  <c r="T22" i="12"/>
  <c r="O23" i="12"/>
  <c r="P23" i="12"/>
  <c r="Q23" i="12"/>
  <c r="R23" i="12"/>
  <c r="S23" i="12"/>
  <c r="T23" i="12"/>
  <c r="T2" i="12"/>
  <c r="S2" i="12"/>
  <c r="R2" i="12"/>
  <c r="Q2" i="12"/>
  <c r="P2" i="12"/>
  <c r="O2" i="12"/>
  <c r="M24" i="12"/>
  <c r="N24" i="12"/>
  <c r="J3" i="12"/>
  <c r="J4" i="12"/>
  <c r="J5" i="12"/>
  <c r="J6" i="12"/>
  <c r="J7" i="12"/>
  <c r="J8" i="12"/>
  <c r="J9" i="12"/>
  <c r="J10" i="12"/>
  <c r="J11" i="12"/>
  <c r="J12" i="12"/>
  <c r="J13" i="12"/>
  <c r="J14" i="12"/>
  <c r="J15" i="12"/>
  <c r="J16" i="12"/>
  <c r="J17" i="12"/>
  <c r="J18" i="12"/>
  <c r="J19" i="12"/>
  <c r="J20" i="12"/>
  <c r="J21" i="12"/>
  <c r="J22" i="12"/>
  <c r="J23" i="12"/>
  <c r="J2" i="12"/>
  <c r="T48" i="11"/>
  <c r="S48" i="11"/>
  <c r="R48" i="11"/>
  <c r="Q48" i="11"/>
  <c r="P48" i="11"/>
  <c r="O48" i="11"/>
  <c r="T47" i="11"/>
  <c r="S47" i="11"/>
  <c r="R47" i="11"/>
  <c r="Q47" i="11"/>
  <c r="P47" i="11"/>
  <c r="O47" i="11"/>
  <c r="T46" i="11"/>
  <c r="S46" i="11"/>
  <c r="R46" i="11"/>
  <c r="Q46" i="11"/>
  <c r="P46" i="11"/>
  <c r="O46" i="11"/>
  <c r="T45" i="11"/>
  <c r="S45" i="11"/>
  <c r="R45" i="11"/>
  <c r="Q45" i="11"/>
  <c r="P45" i="11"/>
  <c r="O45" i="11"/>
  <c r="T44" i="11"/>
  <c r="S44" i="11"/>
  <c r="R44" i="11"/>
  <c r="Q44" i="11"/>
  <c r="P44" i="11"/>
  <c r="O44" i="11"/>
  <c r="T43" i="11"/>
  <c r="S43" i="11"/>
  <c r="R43" i="11"/>
  <c r="Q43" i="11"/>
  <c r="P43" i="11"/>
  <c r="O43" i="11"/>
  <c r="O3" i="11"/>
  <c r="P3" i="11"/>
  <c r="Q3" i="11"/>
  <c r="R3" i="11"/>
  <c r="S3" i="11"/>
  <c r="T3" i="11"/>
  <c r="O4" i="11"/>
  <c r="P4" i="11"/>
  <c r="Q4" i="11"/>
  <c r="R4" i="11"/>
  <c r="S4" i="11"/>
  <c r="T4" i="11"/>
  <c r="O5" i="11"/>
  <c r="P5" i="11"/>
  <c r="Q5" i="11"/>
  <c r="R5" i="11"/>
  <c r="S5" i="11"/>
  <c r="T5" i="11"/>
  <c r="O6" i="11"/>
  <c r="P6" i="11"/>
  <c r="Q6" i="11"/>
  <c r="R6" i="11"/>
  <c r="S6" i="11"/>
  <c r="T6" i="11"/>
  <c r="O7" i="11"/>
  <c r="P7" i="11"/>
  <c r="Q7" i="11"/>
  <c r="R7" i="11"/>
  <c r="S7" i="11"/>
  <c r="T7" i="11"/>
  <c r="O8" i="11"/>
  <c r="P8" i="11"/>
  <c r="Q8" i="11"/>
  <c r="R8" i="11"/>
  <c r="S8" i="11"/>
  <c r="T8" i="11"/>
  <c r="O9" i="11"/>
  <c r="P9" i="11"/>
  <c r="Q9" i="11"/>
  <c r="R9" i="11"/>
  <c r="S9" i="11"/>
  <c r="T9" i="11"/>
  <c r="O10" i="11"/>
  <c r="P10" i="11"/>
  <c r="Q10" i="11"/>
  <c r="R10" i="11"/>
  <c r="S10" i="11"/>
  <c r="T10" i="11"/>
  <c r="O11" i="11"/>
  <c r="P11" i="11"/>
  <c r="Q11" i="11"/>
  <c r="R11" i="11"/>
  <c r="S11" i="11"/>
  <c r="T11" i="11"/>
  <c r="O12" i="11"/>
  <c r="P12" i="11"/>
  <c r="Q12" i="11"/>
  <c r="R12" i="11"/>
  <c r="S12" i="11"/>
  <c r="T12" i="11"/>
  <c r="O13" i="11"/>
  <c r="P13" i="11"/>
  <c r="Q13" i="11"/>
  <c r="R13" i="11"/>
  <c r="S13" i="11"/>
  <c r="T13" i="11"/>
  <c r="O14" i="11"/>
  <c r="P14" i="11"/>
  <c r="Q14" i="11"/>
  <c r="R14" i="11"/>
  <c r="S14" i="11"/>
  <c r="T14" i="11"/>
  <c r="O15" i="11"/>
  <c r="P15" i="11"/>
  <c r="Q15" i="11"/>
  <c r="R15" i="11"/>
  <c r="S15" i="11"/>
  <c r="T15" i="11"/>
  <c r="O16" i="11"/>
  <c r="P16" i="11"/>
  <c r="Q16" i="11"/>
  <c r="R16" i="11"/>
  <c r="S16" i="11"/>
  <c r="T16" i="11"/>
  <c r="O17" i="11"/>
  <c r="P17" i="11"/>
  <c r="Q17" i="11"/>
  <c r="R17" i="11"/>
  <c r="S17" i="11"/>
  <c r="T17" i="11"/>
  <c r="O18" i="11"/>
  <c r="P18" i="11"/>
  <c r="Q18" i="11"/>
  <c r="R18" i="11"/>
  <c r="S18" i="11"/>
  <c r="T18" i="11"/>
  <c r="O19" i="11"/>
  <c r="P19" i="11"/>
  <c r="Q19" i="11"/>
  <c r="R19" i="11"/>
  <c r="S19" i="11"/>
  <c r="T19" i="11"/>
  <c r="O20" i="11"/>
  <c r="P20" i="11"/>
  <c r="Q20" i="11"/>
  <c r="R20" i="11"/>
  <c r="S20" i="11"/>
  <c r="T20" i="11"/>
  <c r="O21" i="11"/>
  <c r="P21" i="11"/>
  <c r="Q21" i="11"/>
  <c r="R21" i="11"/>
  <c r="S21" i="11"/>
  <c r="T21" i="11"/>
  <c r="O22" i="11"/>
  <c r="P22" i="11"/>
  <c r="Q22" i="11"/>
  <c r="R22" i="11"/>
  <c r="S22" i="11"/>
  <c r="T22" i="11"/>
  <c r="O23" i="11"/>
  <c r="P23" i="11"/>
  <c r="Q23" i="11"/>
  <c r="R23" i="11"/>
  <c r="S23" i="11"/>
  <c r="T23" i="11"/>
  <c r="O24" i="11"/>
  <c r="P24" i="11"/>
  <c r="Q24" i="11"/>
  <c r="R24" i="11"/>
  <c r="S24" i="11"/>
  <c r="T24" i="11"/>
  <c r="O25" i="11"/>
  <c r="P25" i="11"/>
  <c r="Q25" i="11"/>
  <c r="R25" i="11"/>
  <c r="S25" i="11"/>
  <c r="T25" i="11"/>
  <c r="O26" i="11"/>
  <c r="P26" i="11"/>
  <c r="Q26" i="11"/>
  <c r="R26" i="11"/>
  <c r="S26" i="11"/>
  <c r="T26" i="11"/>
  <c r="O27" i="11"/>
  <c r="P27" i="11"/>
  <c r="Q27" i="11"/>
  <c r="R27" i="11"/>
  <c r="S27" i="11"/>
  <c r="T27" i="11"/>
  <c r="O28" i="11"/>
  <c r="P28" i="11"/>
  <c r="Q28" i="11"/>
  <c r="R28" i="11"/>
  <c r="S28" i="11"/>
  <c r="T28" i="11"/>
  <c r="O29" i="11"/>
  <c r="P29" i="11"/>
  <c r="Q29" i="11"/>
  <c r="R29" i="11"/>
  <c r="S29" i="11"/>
  <c r="T29" i="11"/>
  <c r="O30" i="11"/>
  <c r="P30" i="11"/>
  <c r="Q30" i="11"/>
  <c r="R30" i="11"/>
  <c r="S30" i="11"/>
  <c r="T30" i="11"/>
  <c r="O31" i="11"/>
  <c r="P31" i="11"/>
  <c r="Q31" i="11"/>
  <c r="R31" i="11"/>
  <c r="S31" i="11"/>
  <c r="T31" i="11"/>
  <c r="O32" i="11"/>
  <c r="P32" i="11"/>
  <c r="Q32" i="11"/>
  <c r="R32" i="11"/>
  <c r="S32" i="11"/>
  <c r="T32" i="11"/>
  <c r="O33" i="11"/>
  <c r="P33" i="11"/>
  <c r="Q33" i="11"/>
  <c r="R33" i="11"/>
  <c r="S33" i="11"/>
  <c r="T33" i="11"/>
  <c r="O34" i="11"/>
  <c r="P34" i="11"/>
  <c r="Q34" i="11"/>
  <c r="R34" i="11"/>
  <c r="S34" i="11"/>
  <c r="T34" i="11"/>
  <c r="O35" i="11"/>
  <c r="P35" i="11"/>
  <c r="Q35" i="11"/>
  <c r="R35" i="11"/>
  <c r="S35" i="11"/>
  <c r="T35" i="11"/>
  <c r="O36" i="11"/>
  <c r="P36" i="11"/>
  <c r="Q36" i="11"/>
  <c r="R36" i="11"/>
  <c r="S36" i="11"/>
  <c r="T36" i="11"/>
  <c r="O37" i="11"/>
  <c r="P37" i="11"/>
  <c r="Q37" i="11"/>
  <c r="R37" i="11"/>
  <c r="S37" i="11"/>
  <c r="T37" i="11"/>
  <c r="O38" i="11"/>
  <c r="P38" i="11"/>
  <c r="Q38" i="11"/>
  <c r="R38" i="11"/>
  <c r="S38" i="11"/>
  <c r="T38" i="11"/>
  <c r="O39" i="11"/>
  <c r="P39" i="11"/>
  <c r="Q39" i="11"/>
  <c r="R39" i="11"/>
  <c r="S39" i="11"/>
  <c r="T39" i="11"/>
  <c r="O40" i="11"/>
  <c r="P40" i="11"/>
  <c r="Q40" i="11"/>
  <c r="R40" i="11"/>
  <c r="S40" i="11"/>
  <c r="T40" i="11"/>
  <c r="T2" i="11"/>
  <c r="S2" i="11"/>
  <c r="R2" i="11"/>
  <c r="Q2" i="11"/>
  <c r="P2" i="11"/>
  <c r="O2" i="11"/>
  <c r="H4" i="9"/>
  <c r="I4" i="9"/>
  <c r="J4" i="9"/>
  <c r="H5" i="9"/>
  <c r="I5" i="9"/>
  <c r="J5" i="9"/>
  <c r="H6" i="9"/>
  <c r="I6" i="9"/>
  <c r="J6" i="9"/>
  <c r="H7" i="9"/>
  <c r="I7" i="9"/>
  <c r="J7" i="9"/>
  <c r="H9" i="9"/>
  <c r="K9" i="9" s="1"/>
  <c r="I9" i="9"/>
  <c r="J9" i="9"/>
  <c r="H10" i="9"/>
  <c r="I10" i="9"/>
  <c r="J10" i="9"/>
  <c r="H11" i="9"/>
  <c r="I11" i="9"/>
  <c r="J11" i="9"/>
  <c r="H12" i="9"/>
  <c r="I12" i="9"/>
  <c r="J12" i="9"/>
  <c r="H14" i="9"/>
  <c r="L14" i="9" s="1"/>
  <c r="I14" i="9"/>
  <c r="J14" i="9"/>
  <c r="H15" i="9"/>
  <c r="I15" i="9"/>
  <c r="J15" i="9"/>
  <c r="H16" i="9"/>
  <c r="I16" i="9"/>
  <c r="J16" i="9"/>
  <c r="H17" i="9"/>
  <c r="I17" i="9"/>
  <c r="J17" i="9"/>
  <c r="H19" i="9"/>
  <c r="I19" i="9"/>
  <c r="J19" i="9"/>
  <c r="H20" i="9"/>
  <c r="I20" i="9"/>
  <c r="J20" i="9"/>
  <c r="H21" i="9"/>
  <c r="I21" i="9"/>
  <c r="J21" i="9"/>
  <c r="H22" i="9"/>
  <c r="I22" i="9"/>
  <c r="J22" i="9"/>
  <c r="H24" i="9"/>
  <c r="I24" i="9"/>
  <c r="J24" i="9"/>
  <c r="H25" i="9"/>
  <c r="I25" i="9"/>
  <c r="J25" i="9"/>
  <c r="H26" i="9"/>
  <c r="I26" i="9"/>
  <c r="J26" i="9"/>
  <c r="H27" i="9"/>
  <c r="I27" i="9"/>
  <c r="J27" i="9"/>
  <c r="H29" i="9"/>
  <c r="K29" i="9" s="1"/>
  <c r="I29" i="9"/>
  <c r="J29" i="9"/>
  <c r="H30" i="9"/>
  <c r="I30" i="9"/>
  <c r="J30" i="9"/>
  <c r="H31" i="9"/>
  <c r="I31" i="9"/>
  <c r="J31" i="9"/>
  <c r="H32" i="9"/>
  <c r="I32" i="9"/>
  <c r="J32" i="9"/>
  <c r="H34" i="9"/>
  <c r="I34" i="9"/>
  <c r="J34" i="9"/>
  <c r="H35" i="9"/>
  <c r="I35" i="9"/>
  <c r="O35" i="9" s="1"/>
  <c r="J35" i="9"/>
  <c r="H36" i="9"/>
  <c r="I36" i="9"/>
  <c r="J36" i="9"/>
  <c r="H37" i="9"/>
  <c r="I37" i="9"/>
  <c r="J37" i="9"/>
  <c r="H39" i="9"/>
  <c r="K39" i="9" s="1"/>
  <c r="I39" i="9"/>
  <c r="J39" i="9"/>
  <c r="H40" i="9"/>
  <c r="I40" i="9"/>
  <c r="J40" i="9"/>
  <c r="H41" i="9"/>
  <c r="I41" i="9"/>
  <c r="J41" i="9"/>
  <c r="H42" i="9"/>
  <c r="I42" i="9"/>
  <c r="J42" i="9"/>
  <c r="H44" i="9"/>
  <c r="I44" i="9"/>
  <c r="J44" i="9"/>
  <c r="H45" i="9"/>
  <c r="I45" i="9"/>
  <c r="J45" i="9"/>
  <c r="H46" i="9"/>
  <c r="I46" i="9"/>
  <c r="J46" i="9"/>
  <c r="H47" i="9"/>
  <c r="I47" i="9"/>
  <c r="J47" i="9"/>
  <c r="H49" i="9"/>
  <c r="I49" i="9"/>
  <c r="J49" i="9"/>
  <c r="H50" i="9"/>
  <c r="I50" i="9"/>
  <c r="J50" i="9"/>
  <c r="H51" i="9"/>
  <c r="I51" i="9"/>
  <c r="J51" i="9"/>
  <c r="H52" i="9"/>
  <c r="I52" i="9"/>
  <c r="J52" i="9"/>
  <c r="J53" i="9"/>
  <c r="H54" i="9"/>
  <c r="I54" i="9"/>
  <c r="J54" i="9"/>
  <c r="H55" i="9"/>
  <c r="I55" i="9"/>
  <c r="J55" i="9"/>
  <c r="H56" i="9"/>
  <c r="I56" i="9"/>
  <c r="J56" i="9"/>
  <c r="J2" i="9"/>
  <c r="I2" i="9"/>
  <c r="H2" i="9"/>
  <c r="N42" i="11"/>
  <c r="N41" i="11"/>
  <c r="O41" i="11" s="1"/>
  <c r="M42" i="11"/>
  <c r="M41" i="11"/>
  <c r="L42" i="11"/>
  <c r="L41" i="11"/>
  <c r="E40" i="11"/>
  <c r="AA3" i="3"/>
  <c r="AB3" i="3"/>
  <c r="AC3" i="3"/>
  <c r="AD3" i="3"/>
  <c r="AE3" i="3"/>
  <c r="AF3" i="3"/>
  <c r="AA10" i="3"/>
  <c r="AB10" i="3"/>
  <c r="AC10" i="3"/>
  <c r="AD10" i="3"/>
  <c r="AE10" i="3"/>
  <c r="AF10" i="3"/>
  <c r="AA11" i="3"/>
  <c r="AA107" i="3" s="1"/>
  <c r="AB11" i="3"/>
  <c r="AB107" i="3" s="1"/>
  <c r="AC11" i="3"/>
  <c r="AC107" i="3" s="1"/>
  <c r="AD11" i="3"/>
  <c r="AD107" i="3" s="1"/>
  <c r="AE11" i="3"/>
  <c r="AF11" i="3"/>
  <c r="AA12" i="3"/>
  <c r="AB12" i="3"/>
  <c r="AC12" i="3"/>
  <c r="AD12" i="3"/>
  <c r="AE12" i="3"/>
  <c r="AF12" i="3"/>
  <c r="AA13" i="3"/>
  <c r="AB13" i="3"/>
  <c r="AC13" i="3"/>
  <c r="AD13" i="3"/>
  <c r="AE13" i="3"/>
  <c r="AF13" i="3"/>
  <c r="AA14" i="3"/>
  <c r="AB14" i="3"/>
  <c r="AC14" i="3"/>
  <c r="AD14" i="3"/>
  <c r="AE14" i="3"/>
  <c r="AF14" i="3"/>
  <c r="AA15" i="3"/>
  <c r="AB15" i="3"/>
  <c r="AC15" i="3"/>
  <c r="AD15" i="3"/>
  <c r="AE15" i="3"/>
  <c r="AF15" i="3"/>
  <c r="AA16" i="3"/>
  <c r="AB16" i="3"/>
  <c r="AC16" i="3"/>
  <c r="AD16" i="3"/>
  <c r="AE16" i="3"/>
  <c r="AF16" i="3"/>
  <c r="AA17" i="3"/>
  <c r="AB17" i="3"/>
  <c r="AC17" i="3"/>
  <c r="AD17" i="3"/>
  <c r="AE17" i="3"/>
  <c r="AF17" i="3"/>
  <c r="AA18" i="3"/>
  <c r="AB18" i="3"/>
  <c r="AC18" i="3"/>
  <c r="AD18" i="3"/>
  <c r="AE18" i="3"/>
  <c r="AF18" i="3"/>
  <c r="AA19" i="3"/>
  <c r="AA108" i="3" s="1"/>
  <c r="AB19" i="3"/>
  <c r="AB108" i="3" s="1"/>
  <c r="AC19" i="3"/>
  <c r="AC108" i="3" s="1"/>
  <c r="AD19" i="3"/>
  <c r="AD108" i="3" s="1"/>
  <c r="AE19" i="3"/>
  <c r="AF19" i="3"/>
  <c r="AA20" i="3"/>
  <c r="AB20" i="3"/>
  <c r="AC20" i="3"/>
  <c r="AD20" i="3"/>
  <c r="AE20" i="3"/>
  <c r="AF20" i="3"/>
  <c r="AA21" i="3"/>
  <c r="AB21" i="3"/>
  <c r="AC21" i="3"/>
  <c r="AD21" i="3"/>
  <c r="AE21" i="3"/>
  <c r="AF21" i="3"/>
  <c r="AA22" i="3"/>
  <c r="AB22" i="3"/>
  <c r="AC22" i="3"/>
  <c r="AD22" i="3"/>
  <c r="AE22" i="3"/>
  <c r="AF22" i="3"/>
  <c r="AA23" i="3"/>
  <c r="AB23" i="3"/>
  <c r="AC23" i="3"/>
  <c r="AD23" i="3"/>
  <c r="AE23" i="3"/>
  <c r="AF23" i="3"/>
  <c r="AA24" i="3"/>
  <c r="AB24" i="3"/>
  <c r="AC24" i="3"/>
  <c r="AD24" i="3"/>
  <c r="AE24" i="3"/>
  <c r="AF24" i="3"/>
  <c r="AA25" i="3"/>
  <c r="AB25" i="3"/>
  <c r="AC25" i="3"/>
  <c r="AD25" i="3"/>
  <c r="AE25" i="3"/>
  <c r="AF25" i="3"/>
  <c r="AA26" i="3"/>
  <c r="AB26" i="3"/>
  <c r="AC26" i="3"/>
  <c r="AD26" i="3"/>
  <c r="AE26" i="3"/>
  <c r="AF26" i="3"/>
  <c r="AA27" i="3"/>
  <c r="AB27" i="3"/>
  <c r="AC27" i="3"/>
  <c r="AD27" i="3"/>
  <c r="AE27" i="3"/>
  <c r="AF27" i="3"/>
  <c r="AA28" i="3"/>
  <c r="AB28" i="3"/>
  <c r="AC28" i="3"/>
  <c r="AD28" i="3"/>
  <c r="AE28" i="3"/>
  <c r="AF28" i="3"/>
  <c r="AA29" i="3"/>
  <c r="AB29" i="3"/>
  <c r="AC29" i="3"/>
  <c r="AD29" i="3"/>
  <c r="AE29" i="3"/>
  <c r="AF29" i="3"/>
  <c r="AA30" i="3"/>
  <c r="AB30" i="3"/>
  <c r="AC30" i="3"/>
  <c r="AD30" i="3"/>
  <c r="AE30" i="3"/>
  <c r="AF30" i="3"/>
  <c r="AA31" i="3"/>
  <c r="AB31" i="3"/>
  <c r="AC31" i="3"/>
  <c r="AD31" i="3"/>
  <c r="AE31" i="3"/>
  <c r="AF31" i="3"/>
  <c r="AA32" i="3"/>
  <c r="AB32" i="3"/>
  <c r="AC32" i="3"/>
  <c r="AD32" i="3"/>
  <c r="AE32" i="3"/>
  <c r="AF32" i="3"/>
  <c r="AA33" i="3"/>
  <c r="AB33" i="3"/>
  <c r="AC33" i="3"/>
  <c r="AD33" i="3"/>
  <c r="AE33" i="3"/>
  <c r="AF33" i="3"/>
  <c r="AA34" i="3"/>
  <c r="AB34" i="3"/>
  <c r="AC34" i="3"/>
  <c r="AD34" i="3"/>
  <c r="AE34" i="3"/>
  <c r="AF34" i="3"/>
  <c r="AA35" i="3"/>
  <c r="AB35" i="3"/>
  <c r="AC35" i="3"/>
  <c r="AD35" i="3"/>
  <c r="AE35" i="3"/>
  <c r="AF35" i="3"/>
  <c r="AA36" i="3"/>
  <c r="AB36" i="3"/>
  <c r="AC36" i="3"/>
  <c r="AD36" i="3"/>
  <c r="AE36" i="3"/>
  <c r="AF36" i="3"/>
  <c r="AA37" i="3"/>
  <c r="AB37" i="3"/>
  <c r="AC37" i="3"/>
  <c r="AD37" i="3"/>
  <c r="AE37" i="3"/>
  <c r="AF37" i="3"/>
  <c r="AA38" i="3"/>
  <c r="AB38" i="3"/>
  <c r="AC38" i="3"/>
  <c r="AD38" i="3"/>
  <c r="AE38" i="3"/>
  <c r="AF38" i="3"/>
  <c r="AA39" i="3"/>
  <c r="AB39" i="3"/>
  <c r="AC39" i="3"/>
  <c r="AD39" i="3"/>
  <c r="AE39" i="3"/>
  <c r="AF39" i="3"/>
  <c r="AA40" i="3"/>
  <c r="AB40" i="3"/>
  <c r="AC40" i="3"/>
  <c r="AD40" i="3"/>
  <c r="AE40" i="3"/>
  <c r="AF40" i="3"/>
  <c r="AA41" i="3"/>
  <c r="AB41" i="3"/>
  <c r="AC41" i="3"/>
  <c r="AD41" i="3"/>
  <c r="AE41" i="3"/>
  <c r="AF41" i="3"/>
  <c r="AA42" i="3"/>
  <c r="AB42" i="3"/>
  <c r="AC42" i="3"/>
  <c r="AD42" i="3"/>
  <c r="AE42" i="3"/>
  <c r="AF42" i="3"/>
  <c r="AA43" i="3"/>
  <c r="AB43" i="3"/>
  <c r="AC43" i="3"/>
  <c r="AD43" i="3"/>
  <c r="AE43" i="3"/>
  <c r="AF43" i="3"/>
  <c r="AA44" i="3"/>
  <c r="AB44" i="3"/>
  <c r="AC44" i="3"/>
  <c r="AD44" i="3"/>
  <c r="AE44" i="3"/>
  <c r="AF44" i="3"/>
  <c r="AA45" i="3"/>
  <c r="AB45" i="3"/>
  <c r="AC45" i="3"/>
  <c r="AD45" i="3"/>
  <c r="AE45" i="3"/>
  <c r="AF45" i="3"/>
  <c r="AA46" i="3"/>
  <c r="AB46" i="3"/>
  <c r="AC46" i="3"/>
  <c r="AD46" i="3"/>
  <c r="AE46" i="3"/>
  <c r="AF46" i="3"/>
  <c r="AA47" i="3"/>
  <c r="AB47" i="3"/>
  <c r="AC47" i="3"/>
  <c r="AD47" i="3"/>
  <c r="AE47" i="3"/>
  <c r="AF47" i="3"/>
  <c r="AA48" i="3"/>
  <c r="AB48" i="3"/>
  <c r="AC48" i="3"/>
  <c r="AD48" i="3"/>
  <c r="AE48" i="3"/>
  <c r="AF48" i="3"/>
  <c r="AA49" i="3"/>
  <c r="AB49" i="3"/>
  <c r="AC49" i="3"/>
  <c r="AD49" i="3"/>
  <c r="AE49" i="3"/>
  <c r="AF49" i="3"/>
  <c r="AA57" i="3"/>
  <c r="AB57" i="3"/>
  <c r="AC57" i="3"/>
  <c r="AD57" i="3"/>
  <c r="AE57" i="3"/>
  <c r="AF57" i="3"/>
  <c r="AA58" i="3"/>
  <c r="AB58" i="3"/>
  <c r="AC58" i="3"/>
  <c r="AD58" i="3"/>
  <c r="AE58" i="3"/>
  <c r="AF58" i="3"/>
  <c r="AA59" i="3"/>
  <c r="AB59" i="3"/>
  <c r="AC59" i="3"/>
  <c r="AD59" i="3"/>
  <c r="AE59" i="3"/>
  <c r="AF59" i="3"/>
  <c r="AA60" i="3"/>
  <c r="AB60" i="3"/>
  <c r="AC60" i="3"/>
  <c r="AD60" i="3"/>
  <c r="AE60" i="3"/>
  <c r="AF60" i="3"/>
  <c r="AA61" i="3"/>
  <c r="AB61" i="3"/>
  <c r="AC61" i="3"/>
  <c r="AD61" i="3"/>
  <c r="AE61" i="3"/>
  <c r="AF61" i="3"/>
  <c r="AA62" i="3"/>
  <c r="AB62" i="3"/>
  <c r="AC62" i="3"/>
  <c r="AD62" i="3"/>
  <c r="AE62" i="3"/>
  <c r="AF62" i="3"/>
  <c r="AA63" i="3"/>
  <c r="AB63" i="3"/>
  <c r="AC63" i="3"/>
  <c r="AD63" i="3"/>
  <c r="AE63" i="3"/>
  <c r="AF63" i="3"/>
  <c r="AA64" i="3"/>
  <c r="AB64" i="3"/>
  <c r="AC64" i="3"/>
  <c r="AD64" i="3"/>
  <c r="AE64" i="3"/>
  <c r="AF64" i="3"/>
  <c r="AA65" i="3"/>
  <c r="AB65" i="3"/>
  <c r="AC65" i="3"/>
  <c r="AD65" i="3"/>
  <c r="AE65" i="3"/>
  <c r="AF65" i="3"/>
  <c r="AA66" i="3"/>
  <c r="AB66" i="3"/>
  <c r="AC66" i="3"/>
  <c r="AD66" i="3"/>
  <c r="AE66" i="3"/>
  <c r="AF66" i="3"/>
  <c r="AA67" i="3"/>
  <c r="AB67" i="3"/>
  <c r="AC67" i="3"/>
  <c r="AD67" i="3"/>
  <c r="AE67" i="3"/>
  <c r="AF67" i="3"/>
  <c r="AA68" i="3"/>
  <c r="AB68" i="3"/>
  <c r="AC68" i="3"/>
  <c r="AD68" i="3"/>
  <c r="AE68" i="3"/>
  <c r="AF68" i="3"/>
  <c r="AA69" i="3"/>
  <c r="AB69" i="3"/>
  <c r="AC69" i="3"/>
  <c r="AD69" i="3"/>
  <c r="AE69" i="3"/>
  <c r="AF69" i="3"/>
  <c r="AA70" i="3"/>
  <c r="AB70" i="3"/>
  <c r="AC70" i="3"/>
  <c r="AD70" i="3"/>
  <c r="AE70" i="3"/>
  <c r="AF70" i="3"/>
  <c r="AA71" i="3"/>
  <c r="AB71" i="3"/>
  <c r="AC71" i="3"/>
  <c r="AD71" i="3"/>
  <c r="AE71" i="3"/>
  <c r="AF71" i="3"/>
  <c r="AA72" i="3"/>
  <c r="AB72" i="3"/>
  <c r="AC72" i="3"/>
  <c r="AD72" i="3"/>
  <c r="AE72" i="3"/>
  <c r="AF72" i="3"/>
  <c r="AA73" i="3"/>
  <c r="AB73" i="3"/>
  <c r="AC73" i="3"/>
  <c r="AD73" i="3"/>
  <c r="AE73" i="3"/>
  <c r="AF73" i="3"/>
  <c r="AA114" i="3"/>
  <c r="AB114" i="3"/>
  <c r="AC114" i="3"/>
  <c r="AD114" i="3"/>
  <c r="AE114" i="3"/>
  <c r="AF114" i="3"/>
  <c r="AA115" i="3"/>
  <c r="AB115" i="3"/>
  <c r="AC115" i="3"/>
  <c r="AD115" i="3"/>
  <c r="AE115" i="3"/>
  <c r="AF115" i="3"/>
  <c r="R10" i="3"/>
  <c r="S10" i="3"/>
  <c r="T10" i="3"/>
  <c r="U10" i="3"/>
  <c r="V10" i="3"/>
  <c r="W10" i="3"/>
  <c r="R12" i="3"/>
  <c r="S12" i="3"/>
  <c r="T12" i="3"/>
  <c r="U12" i="3"/>
  <c r="V12" i="3"/>
  <c r="W12" i="3"/>
  <c r="R14" i="3"/>
  <c r="S14" i="3"/>
  <c r="T14" i="3"/>
  <c r="U14" i="3"/>
  <c r="V14" i="3"/>
  <c r="W14" i="3"/>
  <c r="R16" i="3"/>
  <c r="S16" i="3"/>
  <c r="T16" i="3"/>
  <c r="U16" i="3"/>
  <c r="V16" i="3"/>
  <c r="W16" i="3"/>
  <c r="R17" i="3"/>
  <c r="S17" i="3"/>
  <c r="T17" i="3"/>
  <c r="U17" i="3"/>
  <c r="V17" i="3"/>
  <c r="W17" i="3"/>
  <c r="R18" i="3"/>
  <c r="S18" i="3"/>
  <c r="T18" i="3"/>
  <c r="U18" i="3"/>
  <c r="V18" i="3"/>
  <c r="W18" i="3"/>
  <c r="R20" i="3"/>
  <c r="S20" i="3"/>
  <c r="T20" i="3"/>
  <c r="U20" i="3"/>
  <c r="V20" i="3"/>
  <c r="W20" i="3"/>
  <c r="R22" i="3"/>
  <c r="S22" i="3"/>
  <c r="T22" i="3"/>
  <c r="U22" i="3"/>
  <c r="V22" i="3"/>
  <c r="W22" i="3"/>
  <c r="R24" i="3"/>
  <c r="S24" i="3"/>
  <c r="T24" i="3"/>
  <c r="U24" i="3"/>
  <c r="V24" i="3"/>
  <c r="W24" i="3"/>
  <c r="R25" i="3"/>
  <c r="S25" i="3"/>
  <c r="T25" i="3"/>
  <c r="U25" i="3"/>
  <c r="V25" i="3"/>
  <c r="W25" i="3"/>
  <c r="R26" i="3"/>
  <c r="S26" i="3"/>
  <c r="T26" i="3"/>
  <c r="U26" i="3"/>
  <c r="V26" i="3"/>
  <c r="W26" i="3"/>
  <c r="R27" i="3"/>
  <c r="S27" i="3"/>
  <c r="T27" i="3"/>
  <c r="U27" i="3"/>
  <c r="V27" i="3"/>
  <c r="W27" i="3"/>
  <c r="R28" i="3"/>
  <c r="S28" i="3"/>
  <c r="T28" i="3"/>
  <c r="U28" i="3"/>
  <c r="V28" i="3"/>
  <c r="W28" i="3"/>
  <c r="R29" i="3"/>
  <c r="S29" i="3"/>
  <c r="T29" i="3"/>
  <c r="U29" i="3"/>
  <c r="V29" i="3"/>
  <c r="W29" i="3"/>
  <c r="R30" i="3"/>
  <c r="S30" i="3"/>
  <c r="T30" i="3"/>
  <c r="U30" i="3"/>
  <c r="V30" i="3"/>
  <c r="W30" i="3"/>
  <c r="R31" i="3"/>
  <c r="S31" i="3"/>
  <c r="T31" i="3"/>
  <c r="U31" i="3"/>
  <c r="V31" i="3"/>
  <c r="W31" i="3"/>
  <c r="R32" i="3"/>
  <c r="S32" i="3"/>
  <c r="T32" i="3"/>
  <c r="U32" i="3"/>
  <c r="V32" i="3"/>
  <c r="W32" i="3"/>
  <c r="R33" i="3"/>
  <c r="S33" i="3"/>
  <c r="T33" i="3"/>
  <c r="U33" i="3"/>
  <c r="V33" i="3"/>
  <c r="W33" i="3"/>
  <c r="R34" i="3"/>
  <c r="S34" i="3"/>
  <c r="T34" i="3"/>
  <c r="U34" i="3"/>
  <c r="V34" i="3"/>
  <c r="W34" i="3"/>
  <c r="R35" i="3"/>
  <c r="S35" i="3"/>
  <c r="T35" i="3"/>
  <c r="U35" i="3"/>
  <c r="V35" i="3"/>
  <c r="W35" i="3"/>
  <c r="R36" i="3"/>
  <c r="S36" i="3"/>
  <c r="T36" i="3"/>
  <c r="U36" i="3"/>
  <c r="V36" i="3"/>
  <c r="W36" i="3"/>
  <c r="R37" i="3"/>
  <c r="S37" i="3"/>
  <c r="T37" i="3"/>
  <c r="U37" i="3"/>
  <c r="V37" i="3"/>
  <c r="W37" i="3"/>
  <c r="R38" i="3"/>
  <c r="S38" i="3"/>
  <c r="T38" i="3"/>
  <c r="U38" i="3"/>
  <c r="V38" i="3"/>
  <c r="W38" i="3"/>
  <c r="R39" i="3"/>
  <c r="S39" i="3"/>
  <c r="T39" i="3"/>
  <c r="U39" i="3"/>
  <c r="V39" i="3"/>
  <c r="W39" i="3"/>
  <c r="R40" i="3"/>
  <c r="S40" i="3"/>
  <c r="T40" i="3"/>
  <c r="U40" i="3"/>
  <c r="V40" i="3"/>
  <c r="W40" i="3"/>
  <c r="R41" i="3"/>
  <c r="S41" i="3"/>
  <c r="T41" i="3"/>
  <c r="U41" i="3"/>
  <c r="V41" i="3"/>
  <c r="W41" i="3"/>
  <c r="R42" i="3"/>
  <c r="S42" i="3"/>
  <c r="T42" i="3"/>
  <c r="U42" i="3"/>
  <c r="V42" i="3"/>
  <c r="W42" i="3"/>
  <c r="R43" i="3"/>
  <c r="S43" i="3"/>
  <c r="T43" i="3"/>
  <c r="U43" i="3"/>
  <c r="V43" i="3"/>
  <c r="W43" i="3"/>
  <c r="R44" i="3"/>
  <c r="S44" i="3"/>
  <c r="T44" i="3"/>
  <c r="U44" i="3"/>
  <c r="V44" i="3"/>
  <c r="W44" i="3"/>
  <c r="R45" i="3"/>
  <c r="S45" i="3"/>
  <c r="T45" i="3"/>
  <c r="U45" i="3"/>
  <c r="V45" i="3"/>
  <c r="W45" i="3"/>
  <c r="R46" i="3"/>
  <c r="S46" i="3"/>
  <c r="T46" i="3"/>
  <c r="U46" i="3"/>
  <c r="V46" i="3"/>
  <c r="W46" i="3"/>
  <c r="R47" i="3"/>
  <c r="S47" i="3"/>
  <c r="T47" i="3"/>
  <c r="U47" i="3"/>
  <c r="V47" i="3"/>
  <c r="W47" i="3"/>
  <c r="R48" i="3"/>
  <c r="S48" i="3"/>
  <c r="T48" i="3"/>
  <c r="U48" i="3"/>
  <c r="V48" i="3"/>
  <c r="W48" i="3"/>
  <c r="R49" i="3"/>
  <c r="S49" i="3"/>
  <c r="T49" i="3"/>
  <c r="U49" i="3"/>
  <c r="V49" i="3"/>
  <c r="W49" i="3"/>
  <c r="R57" i="3"/>
  <c r="S57" i="3"/>
  <c r="T57" i="3"/>
  <c r="U57" i="3"/>
  <c r="V57" i="3"/>
  <c r="W57" i="3"/>
  <c r="R58" i="3"/>
  <c r="S58" i="3"/>
  <c r="T58" i="3"/>
  <c r="U58" i="3"/>
  <c r="V58" i="3"/>
  <c r="W58" i="3"/>
  <c r="R59" i="3"/>
  <c r="S59" i="3"/>
  <c r="T59" i="3"/>
  <c r="U59" i="3"/>
  <c r="V59" i="3"/>
  <c r="W59" i="3"/>
  <c r="R60" i="3"/>
  <c r="S60" i="3"/>
  <c r="T60" i="3"/>
  <c r="U60" i="3"/>
  <c r="V60" i="3"/>
  <c r="W60" i="3"/>
  <c r="R61" i="3"/>
  <c r="S61" i="3"/>
  <c r="T61" i="3"/>
  <c r="U61" i="3"/>
  <c r="V61" i="3"/>
  <c r="W61" i="3"/>
  <c r="R62" i="3"/>
  <c r="S62" i="3"/>
  <c r="T62" i="3"/>
  <c r="U62" i="3"/>
  <c r="V62" i="3"/>
  <c r="W62" i="3"/>
  <c r="R63" i="3"/>
  <c r="S63" i="3"/>
  <c r="T63" i="3"/>
  <c r="U63" i="3"/>
  <c r="V63" i="3"/>
  <c r="W63" i="3"/>
  <c r="R64" i="3"/>
  <c r="S64" i="3"/>
  <c r="T64" i="3"/>
  <c r="U64" i="3"/>
  <c r="V64" i="3"/>
  <c r="W64" i="3"/>
  <c r="R65" i="3"/>
  <c r="S65" i="3"/>
  <c r="T65" i="3"/>
  <c r="U65" i="3"/>
  <c r="V65" i="3"/>
  <c r="W65" i="3"/>
  <c r="R66" i="3"/>
  <c r="S66" i="3"/>
  <c r="T66" i="3"/>
  <c r="U66" i="3"/>
  <c r="V66" i="3"/>
  <c r="W66" i="3"/>
  <c r="R67" i="3"/>
  <c r="S67" i="3"/>
  <c r="T67" i="3"/>
  <c r="U67" i="3"/>
  <c r="V67" i="3"/>
  <c r="W67" i="3"/>
  <c r="R68" i="3"/>
  <c r="S68" i="3"/>
  <c r="T68" i="3"/>
  <c r="U68" i="3"/>
  <c r="V68" i="3"/>
  <c r="W68" i="3"/>
  <c r="R69" i="3"/>
  <c r="S69" i="3"/>
  <c r="T69" i="3"/>
  <c r="U69" i="3"/>
  <c r="V69" i="3"/>
  <c r="W69" i="3"/>
  <c r="R70" i="3"/>
  <c r="S70" i="3"/>
  <c r="T70" i="3"/>
  <c r="U70" i="3"/>
  <c r="V70" i="3"/>
  <c r="W70" i="3"/>
  <c r="R71" i="3"/>
  <c r="S71" i="3"/>
  <c r="T71" i="3"/>
  <c r="U71" i="3"/>
  <c r="V71" i="3"/>
  <c r="W71" i="3"/>
  <c r="R72" i="3"/>
  <c r="S72" i="3"/>
  <c r="T72" i="3"/>
  <c r="U72" i="3"/>
  <c r="V72" i="3"/>
  <c r="W72" i="3"/>
  <c r="R73" i="3"/>
  <c r="S73" i="3"/>
  <c r="T73" i="3"/>
  <c r="U73" i="3"/>
  <c r="V73" i="3"/>
  <c r="W73" i="3"/>
  <c r="R104" i="3"/>
  <c r="S104" i="3"/>
  <c r="T104" i="3"/>
  <c r="U104" i="3"/>
  <c r="V104" i="3"/>
  <c r="W104" i="3"/>
  <c r="R105" i="3"/>
  <c r="S105" i="3"/>
  <c r="T105" i="3"/>
  <c r="U105" i="3"/>
  <c r="V105" i="3"/>
  <c r="W105" i="3"/>
  <c r="R114" i="3"/>
  <c r="S114" i="3"/>
  <c r="T114" i="3"/>
  <c r="U114" i="3"/>
  <c r="V114" i="3"/>
  <c r="W114" i="3"/>
  <c r="R115" i="3"/>
  <c r="S115" i="3"/>
  <c r="T115" i="3"/>
  <c r="U115" i="3"/>
  <c r="V115" i="3"/>
  <c r="W115" i="3"/>
  <c r="AF2" i="3"/>
  <c r="AE2" i="3"/>
  <c r="AD2" i="3"/>
  <c r="AC2" i="3"/>
  <c r="AB2" i="3"/>
  <c r="AA2" i="3"/>
  <c r="I10" i="3"/>
  <c r="J10" i="3"/>
  <c r="K10" i="3"/>
  <c r="L10" i="3"/>
  <c r="M10" i="3"/>
  <c r="N10" i="3"/>
  <c r="I12" i="3"/>
  <c r="J12" i="3"/>
  <c r="K12" i="3"/>
  <c r="L12" i="3"/>
  <c r="M12" i="3"/>
  <c r="N12" i="3"/>
  <c r="I14" i="3"/>
  <c r="J14" i="3"/>
  <c r="K14" i="3"/>
  <c r="L14" i="3"/>
  <c r="M14" i="3"/>
  <c r="N14" i="3"/>
  <c r="I16" i="3"/>
  <c r="J16" i="3"/>
  <c r="K16" i="3"/>
  <c r="L16" i="3"/>
  <c r="M16" i="3"/>
  <c r="N16" i="3"/>
  <c r="I17" i="3"/>
  <c r="J17" i="3"/>
  <c r="K17" i="3"/>
  <c r="L17" i="3"/>
  <c r="M17" i="3"/>
  <c r="N17" i="3"/>
  <c r="I18" i="3"/>
  <c r="J18" i="3"/>
  <c r="K18" i="3"/>
  <c r="L18" i="3"/>
  <c r="M18" i="3"/>
  <c r="N18" i="3"/>
  <c r="I20" i="3"/>
  <c r="J20" i="3"/>
  <c r="K20" i="3"/>
  <c r="L20" i="3"/>
  <c r="M20" i="3"/>
  <c r="N20" i="3"/>
  <c r="I22" i="3"/>
  <c r="J22" i="3"/>
  <c r="K22" i="3"/>
  <c r="L22" i="3"/>
  <c r="M22" i="3"/>
  <c r="N22" i="3"/>
  <c r="I24" i="3"/>
  <c r="J24" i="3"/>
  <c r="K24" i="3"/>
  <c r="L24" i="3"/>
  <c r="M24" i="3"/>
  <c r="N24" i="3"/>
  <c r="I25" i="3"/>
  <c r="J25" i="3"/>
  <c r="K25" i="3"/>
  <c r="L25" i="3"/>
  <c r="M25" i="3"/>
  <c r="N25" i="3"/>
  <c r="I26" i="3"/>
  <c r="J26" i="3"/>
  <c r="K26" i="3"/>
  <c r="L26" i="3"/>
  <c r="M26" i="3"/>
  <c r="N26" i="3"/>
  <c r="I27" i="3"/>
  <c r="J27" i="3"/>
  <c r="K27" i="3"/>
  <c r="L27" i="3"/>
  <c r="M27" i="3"/>
  <c r="N27" i="3"/>
  <c r="I28" i="3"/>
  <c r="J28" i="3"/>
  <c r="K28" i="3"/>
  <c r="L28" i="3"/>
  <c r="M28" i="3"/>
  <c r="N28" i="3"/>
  <c r="I29" i="3"/>
  <c r="J29" i="3"/>
  <c r="K29" i="3"/>
  <c r="L29" i="3"/>
  <c r="M29" i="3"/>
  <c r="N29" i="3"/>
  <c r="I30" i="3"/>
  <c r="J30" i="3"/>
  <c r="K30" i="3"/>
  <c r="L30" i="3"/>
  <c r="M30" i="3"/>
  <c r="N30" i="3"/>
  <c r="I31" i="3"/>
  <c r="J31" i="3"/>
  <c r="K31" i="3"/>
  <c r="L31" i="3"/>
  <c r="M31" i="3"/>
  <c r="N31" i="3"/>
  <c r="I32" i="3"/>
  <c r="J32" i="3"/>
  <c r="K32" i="3"/>
  <c r="L32" i="3"/>
  <c r="M32" i="3"/>
  <c r="N32" i="3"/>
  <c r="I33" i="3"/>
  <c r="J33" i="3"/>
  <c r="K33" i="3"/>
  <c r="L33" i="3"/>
  <c r="M33" i="3"/>
  <c r="N33" i="3"/>
  <c r="I34" i="3"/>
  <c r="J34" i="3"/>
  <c r="K34" i="3"/>
  <c r="L34" i="3"/>
  <c r="M34" i="3"/>
  <c r="N34" i="3"/>
  <c r="I35" i="3"/>
  <c r="J35" i="3"/>
  <c r="K35" i="3"/>
  <c r="L35" i="3"/>
  <c r="M35" i="3"/>
  <c r="N35" i="3"/>
  <c r="I36" i="3"/>
  <c r="J36" i="3"/>
  <c r="K36" i="3"/>
  <c r="L36" i="3"/>
  <c r="M36" i="3"/>
  <c r="N36" i="3"/>
  <c r="I37" i="3"/>
  <c r="J37" i="3"/>
  <c r="K37" i="3"/>
  <c r="L37" i="3"/>
  <c r="M37" i="3"/>
  <c r="N37" i="3"/>
  <c r="I38" i="3"/>
  <c r="J38" i="3"/>
  <c r="K38" i="3"/>
  <c r="L38" i="3"/>
  <c r="M38" i="3"/>
  <c r="N38" i="3"/>
  <c r="I39" i="3"/>
  <c r="J39" i="3"/>
  <c r="K39" i="3"/>
  <c r="L39" i="3"/>
  <c r="M39" i="3"/>
  <c r="N39" i="3"/>
  <c r="I40" i="3"/>
  <c r="J40" i="3"/>
  <c r="K40" i="3"/>
  <c r="L40" i="3"/>
  <c r="M40" i="3"/>
  <c r="N40" i="3"/>
  <c r="I41" i="3"/>
  <c r="J41" i="3"/>
  <c r="K41" i="3"/>
  <c r="L41" i="3"/>
  <c r="M41" i="3"/>
  <c r="N41" i="3"/>
  <c r="I42" i="3"/>
  <c r="J42" i="3"/>
  <c r="K42" i="3"/>
  <c r="L42" i="3"/>
  <c r="M42" i="3"/>
  <c r="N42" i="3"/>
  <c r="I43" i="3"/>
  <c r="J43" i="3"/>
  <c r="K43" i="3"/>
  <c r="L43" i="3"/>
  <c r="M43" i="3"/>
  <c r="N43" i="3"/>
  <c r="I44" i="3"/>
  <c r="J44" i="3"/>
  <c r="K44" i="3"/>
  <c r="L44" i="3"/>
  <c r="M44" i="3"/>
  <c r="N44" i="3"/>
  <c r="I45" i="3"/>
  <c r="J45" i="3"/>
  <c r="K45" i="3"/>
  <c r="L45" i="3"/>
  <c r="M45" i="3"/>
  <c r="N45" i="3"/>
  <c r="I46" i="3"/>
  <c r="J46" i="3"/>
  <c r="K46" i="3"/>
  <c r="L46" i="3"/>
  <c r="M46" i="3"/>
  <c r="N46" i="3"/>
  <c r="I47" i="3"/>
  <c r="J47" i="3"/>
  <c r="K47" i="3"/>
  <c r="L47" i="3"/>
  <c r="M47" i="3"/>
  <c r="N47" i="3"/>
  <c r="I48" i="3"/>
  <c r="J48" i="3"/>
  <c r="K48" i="3"/>
  <c r="L48" i="3"/>
  <c r="M48" i="3"/>
  <c r="N48" i="3"/>
  <c r="I49" i="3"/>
  <c r="J49" i="3"/>
  <c r="K49" i="3"/>
  <c r="L49" i="3"/>
  <c r="M49" i="3"/>
  <c r="N49" i="3"/>
  <c r="I57" i="3"/>
  <c r="J57" i="3"/>
  <c r="K57" i="3"/>
  <c r="L57" i="3"/>
  <c r="M57" i="3"/>
  <c r="N57" i="3"/>
  <c r="I58" i="3"/>
  <c r="J58" i="3"/>
  <c r="K58" i="3"/>
  <c r="L58" i="3"/>
  <c r="M58" i="3"/>
  <c r="N58" i="3"/>
  <c r="I59" i="3"/>
  <c r="J59" i="3"/>
  <c r="K59" i="3"/>
  <c r="L59" i="3"/>
  <c r="M59" i="3"/>
  <c r="N59" i="3"/>
  <c r="I60" i="3"/>
  <c r="J60" i="3"/>
  <c r="K60" i="3"/>
  <c r="L60" i="3"/>
  <c r="M60" i="3"/>
  <c r="N60" i="3"/>
  <c r="I61" i="3"/>
  <c r="J61" i="3"/>
  <c r="K61" i="3"/>
  <c r="L61" i="3"/>
  <c r="M61" i="3"/>
  <c r="N61" i="3"/>
  <c r="I62" i="3"/>
  <c r="J62" i="3"/>
  <c r="K62" i="3"/>
  <c r="L62" i="3"/>
  <c r="M62" i="3"/>
  <c r="N62" i="3"/>
  <c r="I63" i="3"/>
  <c r="J63" i="3"/>
  <c r="K63" i="3"/>
  <c r="L63" i="3"/>
  <c r="M63" i="3"/>
  <c r="N63" i="3"/>
  <c r="I64" i="3"/>
  <c r="J64" i="3"/>
  <c r="K64" i="3"/>
  <c r="L64" i="3"/>
  <c r="M64" i="3"/>
  <c r="N64" i="3"/>
  <c r="I65" i="3"/>
  <c r="J65" i="3"/>
  <c r="K65" i="3"/>
  <c r="L65" i="3"/>
  <c r="M65" i="3"/>
  <c r="N65" i="3"/>
  <c r="I66" i="3"/>
  <c r="J66" i="3"/>
  <c r="K66" i="3"/>
  <c r="L66" i="3"/>
  <c r="M66" i="3"/>
  <c r="N66" i="3"/>
  <c r="I67" i="3"/>
  <c r="J67" i="3"/>
  <c r="K67" i="3"/>
  <c r="L67" i="3"/>
  <c r="M67" i="3"/>
  <c r="N67" i="3"/>
  <c r="I68" i="3"/>
  <c r="J68" i="3"/>
  <c r="K68" i="3"/>
  <c r="L68" i="3"/>
  <c r="M68" i="3"/>
  <c r="N68" i="3"/>
  <c r="I69" i="3"/>
  <c r="J69" i="3"/>
  <c r="K69" i="3"/>
  <c r="L69" i="3"/>
  <c r="M69" i="3"/>
  <c r="N69" i="3"/>
  <c r="I70" i="3"/>
  <c r="J70" i="3"/>
  <c r="K70" i="3"/>
  <c r="L70" i="3"/>
  <c r="M70" i="3"/>
  <c r="N70" i="3"/>
  <c r="I71" i="3"/>
  <c r="J71" i="3"/>
  <c r="K71" i="3"/>
  <c r="L71" i="3"/>
  <c r="M71" i="3"/>
  <c r="N71" i="3"/>
  <c r="I72" i="3"/>
  <c r="J72" i="3"/>
  <c r="K72" i="3"/>
  <c r="L72" i="3"/>
  <c r="M72" i="3"/>
  <c r="N72" i="3"/>
  <c r="I73" i="3"/>
  <c r="J73" i="3"/>
  <c r="K73" i="3"/>
  <c r="L73" i="3"/>
  <c r="M73" i="3"/>
  <c r="N73" i="3"/>
  <c r="I104" i="3"/>
  <c r="J104" i="3"/>
  <c r="K104" i="3"/>
  <c r="L104" i="3"/>
  <c r="M104" i="3"/>
  <c r="N104" i="3"/>
  <c r="I105" i="3"/>
  <c r="J105" i="3"/>
  <c r="K105" i="3"/>
  <c r="L105" i="3"/>
  <c r="M105" i="3"/>
  <c r="N105" i="3"/>
  <c r="I114" i="3"/>
  <c r="J114" i="3"/>
  <c r="K114" i="3"/>
  <c r="L114" i="3"/>
  <c r="M114" i="3"/>
  <c r="N114" i="3"/>
  <c r="I115" i="3"/>
  <c r="J115" i="3"/>
  <c r="K115" i="3"/>
  <c r="L115" i="3"/>
  <c r="M115" i="3"/>
  <c r="N115" i="3"/>
  <c r="AA3" i="1"/>
  <c r="AB3" i="1"/>
  <c r="AC3" i="1"/>
  <c r="AD3" i="1"/>
  <c r="AE3" i="1"/>
  <c r="AF3" i="1"/>
  <c r="AA4" i="1"/>
  <c r="AB4" i="1"/>
  <c r="AC4" i="1"/>
  <c r="AD4" i="1"/>
  <c r="AE4" i="1"/>
  <c r="AF4" i="1"/>
  <c r="AA5" i="1"/>
  <c r="AB5" i="1"/>
  <c r="AC5" i="1"/>
  <c r="AD5" i="1"/>
  <c r="AE5" i="1"/>
  <c r="AF5" i="1"/>
  <c r="AA6" i="1"/>
  <c r="AB6" i="1"/>
  <c r="AC6" i="1"/>
  <c r="AD6" i="1"/>
  <c r="AE6" i="1"/>
  <c r="AF6" i="1"/>
  <c r="AA7" i="1"/>
  <c r="AB7" i="1"/>
  <c r="AC7" i="1"/>
  <c r="AD7" i="1"/>
  <c r="AE7" i="1"/>
  <c r="AF7" i="1"/>
  <c r="AA8" i="1"/>
  <c r="AB8" i="1"/>
  <c r="AC8" i="1"/>
  <c r="AD8" i="1"/>
  <c r="AE8" i="1"/>
  <c r="AF8" i="1"/>
  <c r="AA9" i="1"/>
  <c r="AB9" i="1"/>
  <c r="AC9" i="1"/>
  <c r="AD9" i="1"/>
  <c r="AE9" i="1"/>
  <c r="AF9" i="1"/>
  <c r="AA10" i="1"/>
  <c r="AB10" i="1"/>
  <c r="AC10" i="1"/>
  <c r="AD10" i="1"/>
  <c r="AE10" i="1"/>
  <c r="AF10" i="1"/>
  <c r="AA11" i="1"/>
  <c r="AB11" i="1"/>
  <c r="AC11" i="1"/>
  <c r="AD11" i="1"/>
  <c r="AE11" i="1"/>
  <c r="AF11" i="1"/>
  <c r="AA12" i="1"/>
  <c r="AB12" i="1"/>
  <c r="AC12" i="1"/>
  <c r="AD12" i="1"/>
  <c r="AE12" i="1"/>
  <c r="AF12" i="1"/>
  <c r="AA13" i="1"/>
  <c r="AB13" i="1"/>
  <c r="AC13" i="1"/>
  <c r="AD13" i="1"/>
  <c r="AE13" i="1"/>
  <c r="AF13" i="1"/>
  <c r="AA14" i="1"/>
  <c r="AB14" i="1"/>
  <c r="AC14" i="1"/>
  <c r="AD14" i="1"/>
  <c r="AE14" i="1"/>
  <c r="AF14" i="1"/>
  <c r="AA15" i="1"/>
  <c r="AB15" i="1"/>
  <c r="AC15" i="1"/>
  <c r="AD15" i="1"/>
  <c r="AE15" i="1"/>
  <c r="AF15" i="1"/>
  <c r="AA16" i="1"/>
  <c r="AB16" i="1"/>
  <c r="AC16" i="1"/>
  <c r="AD16" i="1"/>
  <c r="AE16" i="1"/>
  <c r="AF16" i="1"/>
  <c r="AA17" i="1"/>
  <c r="AB17" i="1"/>
  <c r="AC17" i="1"/>
  <c r="AD17" i="1"/>
  <c r="AE17" i="1"/>
  <c r="AF17" i="1"/>
  <c r="AA18" i="1"/>
  <c r="AB18" i="1"/>
  <c r="AC18" i="1"/>
  <c r="AD18" i="1"/>
  <c r="AE18" i="1"/>
  <c r="AF18" i="1"/>
  <c r="AA19" i="1"/>
  <c r="AB19" i="1"/>
  <c r="AC19" i="1"/>
  <c r="AD19" i="1"/>
  <c r="AE19" i="1"/>
  <c r="AF19" i="1"/>
  <c r="AA20" i="1"/>
  <c r="AB20" i="1"/>
  <c r="AC20" i="1"/>
  <c r="AD20" i="1"/>
  <c r="AE20" i="1"/>
  <c r="AF20" i="1"/>
  <c r="AA21" i="1"/>
  <c r="AB21" i="1"/>
  <c r="AC21" i="1"/>
  <c r="AD21" i="1"/>
  <c r="AE21" i="1"/>
  <c r="AF21" i="1"/>
  <c r="AA22" i="1"/>
  <c r="AB22" i="1"/>
  <c r="AC22" i="1"/>
  <c r="AD22" i="1"/>
  <c r="AE22" i="1"/>
  <c r="AF22" i="1"/>
  <c r="AA23" i="1"/>
  <c r="AB23" i="1"/>
  <c r="AC23" i="1"/>
  <c r="AD23" i="1"/>
  <c r="AE23" i="1"/>
  <c r="AF23" i="1"/>
  <c r="AA24" i="1"/>
  <c r="AB24" i="1"/>
  <c r="AC24" i="1"/>
  <c r="AD24" i="1"/>
  <c r="AE24" i="1"/>
  <c r="AF24" i="1"/>
  <c r="AA25" i="1"/>
  <c r="AB25" i="1"/>
  <c r="AC25" i="1"/>
  <c r="AD25" i="1"/>
  <c r="AE25" i="1"/>
  <c r="AF25" i="1"/>
  <c r="AA34" i="1"/>
  <c r="AB34" i="1"/>
  <c r="AC34" i="1"/>
  <c r="AD34" i="1"/>
  <c r="AE34" i="1"/>
  <c r="AF34" i="1"/>
  <c r="AA35" i="1"/>
  <c r="AB35" i="1"/>
  <c r="AC35" i="1"/>
  <c r="AD35" i="1"/>
  <c r="AE35" i="1"/>
  <c r="AF35" i="1"/>
  <c r="AA36" i="1"/>
  <c r="AB36" i="1"/>
  <c r="AC36" i="1"/>
  <c r="AD36" i="1"/>
  <c r="AE36" i="1"/>
  <c r="AF36" i="1"/>
  <c r="AA37" i="1"/>
  <c r="AB37" i="1"/>
  <c r="AC37" i="1"/>
  <c r="AD37" i="1"/>
  <c r="AE37" i="1"/>
  <c r="AF37" i="1"/>
  <c r="AA38" i="1"/>
  <c r="AB38" i="1"/>
  <c r="AC38" i="1"/>
  <c r="AD38" i="1"/>
  <c r="AE38" i="1"/>
  <c r="AF38" i="1"/>
  <c r="AA39" i="1"/>
  <c r="AB39" i="1"/>
  <c r="AC39" i="1"/>
  <c r="AD39" i="1"/>
  <c r="AE39" i="1"/>
  <c r="AF39" i="1"/>
  <c r="AA40" i="1"/>
  <c r="AB40" i="1"/>
  <c r="AC40" i="1"/>
  <c r="AD40" i="1"/>
  <c r="AE40" i="1"/>
  <c r="AF40" i="1"/>
  <c r="AA41" i="1"/>
  <c r="AB41" i="1"/>
  <c r="AC41" i="1"/>
  <c r="AD41" i="1"/>
  <c r="AE41" i="1"/>
  <c r="AF41" i="1"/>
  <c r="AA42" i="1"/>
  <c r="AB42" i="1"/>
  <c r="AC42" i="1"/>
  <c r="AD42" i="1"/>
  <c r="AE42" i="1"/>
  <c r="AF42" i="1"/>
  <c r="AA43" i="1"/>
  <c r="AB43" i="1"/>
  <c r="AC43" i="1"/>
  <c r="AD43" i="1"/>
  <c r="AE43" i="1"/>
  <c r="AF43" i="1"/>
  <c r="AA44" i="1"/>
  <c r="AB44" i="1"/>
  <c r="AC44" i="1"/>
  <c r="AD44" i="1"/>
  <c r="AE44" i="1"/>
  <c r="AF44" i="1"/>
  <c r="AA45" i="1"/>
  <c r="AB45" i="1"/>
  <c r="AC45" i="1"/>
  <c r="AD45" i="1"/>
  <c r="AE45" i="1"/>
  <c r="AF45" i="1"/>
  <c r="AA46" i="1"/>
  <c r="AB46" i="1"/>
  <c r="AC46" i="1"/>
  <c r="AD46" i="1"/>
  <c r="AE46" i="1"/>
  <c r="AF46" i="1"/>
  <c r="AA47" i="1"/>
  <c r="AB47" i="1"/>
  <c r="AC47" i="1"/>
  <c r="AD47" i="1"/>
  <c r="AE47" i="1"/>
  <c r="AF47" i="1"/>
  <c r="AA48" i="1"/>
  <c r="AB48" i="1"/>
  <c r="AC48" i="1"/>
  <c r="AD48" i="1"/>
  <c r="AE48" i="1"/>
  <c r="AF48" i="1"/>
  <c r="AA49" i="1"/>
  <c r="AB49" i="1"/>
  <c r="AC49" i="1"/>
  <c r="AD49" i="1"/>
  <c r="AE49" i="1"/>
  <c r="AF49" i="1"/>
  <c r="AA50" i="1"/>
  <c r="AB50" i="1"/>
  <c r="AC50" i="1"/>
  <c r="AD50" i="1"/>
  <c r="AE50" i="1"/>
  <c r="AF50" i="1"/>
  <c r="AA51" i="1"/>
  <c r="AA27" i="1" s="1"/>
  <c r="AB51" i="1"/>
  <c r="AB27" i="1" s="1"/>
  <c r="AC51" i="1"/>
  <c r="AC27" i="1" s="1"/>
  <c r="AD51" i="1"/>
  <c r="AD27" i="1" s="1"/>
  <c r="AE51" i="1"/>
  <c r="AE27" i="1" s="1"/>
  <c r="AF51" i="1"/>
  <c r="AF27" i="1" s="1"/>
  <c r="AA52" i="1"/>
  <c r="AA28" i="1" s="1"/>
  <c r="AB52" i="1"/>
  <c r="AB28" i="1" s="1"/>
  <c r="AC52" i="1"/>
  <c r="AD52" i="1"/>
  <c r="AD28" i="1" s="1"/>
  <c r="AE52" i="1"/>
  <c r="AE28" i="1" s="1"/>
  <c r="AF52" i="1"/>
  <c r="AF28" i="1" s="1"/>
  <c r="AA53" i="1"/>
  <c r="AA29" i="1" s="1"/>
  <c r="AB53" i="1"/>
  <c r="AB29" i="1" s="1"/>
  <c r="AC53" i="1"/>
  <c r="AC29" i="1" s="1"/>
  <c r="AD53" i="1"/>
  <c r="AD29" i="1" s="1"/>
  <c r="AE53" i="1"/>
  <c r="AE29" i="1" s="1"/>
  <c r="AF53" i="1"/>
  <c r="AF29" i="1" s="1"/>
  <c r="AA54" i="1"/>
  <c r="AA30" i="1" s="1"/>
  <c r="AB54" i="1"/>
  <c r="AB30" i="1" s="1"/>
  <c r="AC54" i="1"/>
  <c r="AC30" i="1" s="1"/>
  <c r="AD54" i="1"/>
  <c r="AD30" i="1" s="1"/>
  <c r="AE54" i="1"/>
  <c r="AE30" i="1" s="1"/>
  <c r="AF54" i="1"/>
  <c r="AF30" i="1" s="1"/>
  <c r="AA55" i="1"/>
  <c r="AA31" i="1" s="1"/>
  <c r="AB55" i="1"/>
  <c r="AB31" i="1" s="1"/>
  <c r="AC55" i="1"/>
  <c r="AC31" i="1" s="1"/>
  <c r="AD55" i="1"/>
  <c r="AD31" i="1" s="1"/>
  <c r="AE55" i="1"/>
  <c r="AE31" i="1" s="1"/>
  <c r="AF55" i="1"/>
  <c r="AF31" i="1" s="1"/>
  <c r="AA56" i="1"/>
  <c r="AA32" i="1" s="1"/>
  <c r="AB56" i="1"/>
  <c r="AB32" i="1" s="1"/>
  <c r="AC56" i="1"/>
  <c r="AC32" i="1" s="1"/>
  <c r="AD56" i="1"/>
  <c r="AD32" i="1" s="1"/>
  <c r="AE56" i="1"/>
  <c r="AE32" i="1" s="1"/>
  <c r="AF56" i="1"/>
  <c r="AF32" i="1" s="1"/>
  <c r="AA57" i="1"/>
  <c r="AA33" i="1" s="1"/>
  <c r="AB57" i="1"/>
  <c r="AB33" i="1" s="1"/>
  <c r="AC57" i="1"/>
  <c r="AD57" i="1"/>
  <c r="AD33" i="1" s="1"/>
  <c r="AE57" i="1"/>
  <c r="AE33" i="1" s="1"/>
  <c r="AF57" i="1"/>
  <c r="AF33" i="1" s="1"/>
  <c r="AA58" i="1"/>
  <c r="AB58" i="1"/>
  <c r="AC58" i="1"/>
  <c r="AD58" i="1"/>
  <c r="AE58" i="1"/>
  <c r="AF58" i="1"/>
  <c r="AA59" i="1"/>
  <c r="AB59" i="1"/>
  <c r="AC59" i="1"/>
  <c r="AD59" i="1"/>
  <c r="AE59" i="1"/>
  <c r="AF59" i="1"/>
  <c r="AA60" i="1"/>
  <c r="AB60" i="1"/>
  <c r="AC60" i="1"/>
  <c r="AD60" i="1"/>
  <c r="AE60" i="1"/>
  <c r="AF60" i="1"/>
  <c r="AA61" i="1"/>
  <c r="AB61" i="1"/>
  <c r="AC61" i="1"/>
  <c r="AD61" i="1"/>
  <c r="AE61" i="1"/>
  <c r="AF61" i="1"/>
  <c r="AA62" i="1"/>
  <c r="AB62" i="1"/>
  <c r="AC62" i="1"/>
  <c r="AD62" i="1"/>
  <c r="AE62" i="1"/>
  <c r="AF62" i="1"/>
  <c r="AA63" i="1"/>
  <c r="AB63" i="1"/>
  <c r="AC63" i="1"/>
  <c r="AD63" i="1"/>
  <c r="AE63" i="1"/>
  <c r="AF63" i="1"/>
  <c r="AA64" i="1"/>
  <c r="AB64" i="1"/>
  <c r="AC64" i="1"/>
  <c r="AD64" i="1"/>
  <c r="AE64" i="1"/>
  <c r="AF64" i="1"/>
  <c r="AA65" i="1"/>
  <c r="AB65" i="1"/>
  <c r="AC65" i="1"/>
  <c r="AD65" i="1"/>
  <c r="AE65" i="1"/>
  <c r="AF65" i="1"/>
  <c r="AA66" i="1"/>
  <c r="AB66" i="1"/>
  <c r="AC66" i="1"/>
  <c r="AD66" i="1"/>
  <c r="AE66" i="1"/>
  <c r="AF66" i="1"/>
  <c r="AA67" i="1"/>
  <c r="AB67" i="1"/>
  <c r="AC67" i="1"/>
  <c r="AD67" i="1"/>
  <c r="AE67" i="1"/>
  <c r="AF67" i="1"/>
  <c r="AA68" i="1"/>
  <c r="AB68" i="1"/>
  <c r="AC68" i="1"/>
  <c r="AD68" i="1"/>
  <c r="AE68" i="1"/>
  <c r="AF68" i="1"/>
  <c r="AA69" i="1"/>
  <c r="AB69" i="1"/>
  <c r="AC69" i="1"/>
  <c r="AD69" i="1"/>
  <c r="AE69" i="1"/>
  <c r="AF69" i="1"/>
  <c r="AA70" i="1"/>
  <c r="AB70" i="1"/>
  <c r="AC70" i="1"/>
  <c r="AD70" i="1"/>
  <c r="AE70" i="1"/>
  <c r="AF70" i="1"/>
  <c r="AA71" i="1"/>
  <c r="AB71" i="1"/>
  <c r="AC71" i="1"/>
  <c r="AD71" i="1"/>
  <c r="AE71" i="1"/>
  <c r="AF71" i="1"/>
  <c r="AA72" i="1"/>
  <c r="AB72" i="1"/>
  <c r="AC72" i="1"/>
  <c r="AD72" i="1"/>
  <c r="AE72" i="1"/>
  <c r="AF72" i="1"/>
  <c r="AA73" i="1"/>
  <c r="AB73" i="1"/>
  <c r="AC73" i="1"/>
  <c r="AD73" i="1"/>
  <c r="AE73" i="1"/>
  <c r="AF73" i="1"/>
  <c r="AA74" i="1"/>
  <c r="AB74" i="1"/>
  <c r="AC74" i="1"/>
  <c r="AD74" i="1"/>
  <c r="AE74" i="1"/>
  <c r="AF74" i="1"/>
  <c r="AA75" i="1"/>
  <c r="AB75" i="1"/>
  <c r="AC75" i="1"/>
  <c r="AD75" i="1"/>
  <c r="AE75" i="1"/>
  <c r="AF75" i="1"/>
  <c r="AA76" i="1"/>
  <c r="AB76" i="1"/>
  <c r="AC76" i="1"/>
  <c r="AD76" i="1"/>
  <c r="AE76" i="1"/>
  <c r="AF76" i="1"/>
  <c r="AA77" i="1"/>
  <c r="AB77" i="1"/>
  <c r="AC77" i="1"/>
  <c r="AD77" i="1"/>
  <c r="AE77" i="1"/>
  <c r="AF77" i="1"/>
  <c r="AA78" i="1"/>
  <c r="AB78" i="1"/>
  <c r="AC78" i="1"/>
  <c r="AD78" i="1"/>
  <c r="AE78" i="1"/>
  <c r="AF78" i="1"/>
  <c r="AA79" i="1"/>
  <c r="AB79" i="1"/>
  <c r="AC79" i="1"/>
  <c r="AD79" i="1"/>
  <c r="AE79" i="1"/>
  <c r="AF79" i="1"/>
  <c r="AA80" i="1"/>
  <c r="AB80" i="1"/>
  <c r="AC80" i="1"/>
  <c r="AD80" i="1"/>
  <c r="AE80" i="1"/>
  <c r="AF80" i="1"/>
  <c r="AA81" i="1"/>
  <c r="AB81" i="1"/>
  <c r="AC81" i="1"/>
  <c r="AD81" i="1"/>
  <c r="AE81" i="1"/>
  <c r="AF81" i="1"/>
  <c r="AA82" i="1"/>
  <c r="AB82" i="1"/>
  <c r="AC82" i="1"/>
  <c r="AD82" i="1"/>
  <c r="AE82" i="1"/>
  <c r="AF82" i="1"/>
  <c r="AA83" i="1"/>
  <c r="AB83" i="1"/>
  <c r="AC83" i="1"/>
  <c r="AD83" i="1"/>
  <c r="AE83" i="1"/>
  <c r="AF83" i="1"/>
  <c r="AA84" i="1"/>
  <c r="AB84" i="1"/>
  <c r="AC84" i="1"/>
  <c r="AD84" i="1"/>
  <c r="AE84" i="1"/>
  <c r="AF84" i="1"/>
  <c r="AA85" i="1"/>
  <c r="AB85" i="1"/>
  <c r="AC85" i="1"/>
  <c r="AD85" i="1"/>
  <c r="AE85" i="1"/>
  <c r="AF85" i="1"/>
  <c r="AA86" i="1"/>
  <c r="AB86" i="1"/>
  <c r="AC86" i="1"/>
  <c r="AD86" i="1"/>
  <c r="AE86" i="1"/>
  <c r="AF86" i="1"/>
  <c r="AA87" i="1"/>
  <c r="AB87" i="1"/>
  <c r="AC87" i="1"/>
  <c r="AD87" i="1"/>
  <c r="AE87" i="1"/>
  <c r="AF87" i="1"/>
  <c r="AA88" i="1"/>
  <c r="AB88" i="1"/>
  <c r="AC88" i="1"/>
  <c r="AD88" i="1"/>
  <c r="AE88" i="1"/>
  <c r="AF88" i="1"/>
  <c r="AA89" i="1"/>
  <c r="AB89" i="1"/>
  <c r="AC89" i="1"/>
  <c r="AD89" i="1"/>
  <c r="AE89" i="1"/>
  <c r="AF89" i="1"/>
  <c r="AA90" i="1"/>
  <c r="AB90" i="1"/>
  <c r="AC90" i="1"/>
  <c r="AD90" i="1"/>
  <c r="AE90" i="1"/>
  <c r="AF90" i="1"/>
  <c r="AA91" i="1"/>
  <c r="AB91" i="1"/>
  <c r="AC91" i="1"/>
  <c r="AD91" i="1"/>
  <c r="AE91" i="1"/>
  <c r="AF91" i="1"/>
  <c r="AA92" i="1"/>
  <c r="AB92" i="1"/>
  <c r="AC92" i="1"/>
  <c r="AD92" i="1"/>
  <c r="AE92" i="1"/>
  <c r="AF92" i="1"/>
  <c r="AA93" i="1"/>
  <c r="AB93" i="1"/>
  <c r="AC93" i="1"/>
  <c r="AD93" i="1"/>
  <c r="AE93" i="1"/>
  <c r="AF93" i="1"/>
  <c r="AA94" i="1"/>
  <c r="AB94" i="1"/>
  <c r="AC94" i="1"/>
  <c r="AD94" i="1"/>
  <c r="AE94" i="1"/>
  <c r="AF94" i="1"/>
  <c r="AA95" i="1"/>
  <c r="AB95" i="1"/>
  <c r="AC95" i="1"/>
  <c r="AD95" i="1"/>
  <c r="AE95" i="1"/>
  <c r="AF95" i="1"/>
  <c r="AA96" i="1"/>
  <c r="AB96" i="1"/>
  <c r="AC96" i="1"/>
  <c r="AD96" i="1"/>
  <c r="AE96" i="1"/>
  <c r="AF96" i="1"/>
  <c r="AA97" i="1"/>
  <c r="AB97" i="1"/>
  <c r="AC97" i="1"/>
  <c r="AD97" i="1"/>
  <c r="AE97" i="1"/>
  <c r="AF97" i="1"/>
  <c r="AA98" i="1"/>
  <c r="AB98" i="1"/>
  <c r="AC98" i="1"/>
  <c r="AD98" i="1"/>
  <c r="AE98" i="1"/>
  <c r="AF98" i="1"/>
  <c r="AA102" i="1"/>
  <c r="AB102" i="1"/>
  <c r="AC102" i="1"/>
  <c r="AD102" i="1"/>
  <c r="AE102" i="1"/>
  <c r="AF102" i="1"/>
  <c r="AA103" i="1"/>
  <c r="AB103" i="1"/>
  <c r="AC103" i="1"/>
  <c r="AD103" i="1"/>
  <c r="AE103" i="1"/>
  <c r="AF103" i="1"/>
  <c r="AA104" i="1"/>
  <c r="AB104" i="1"/>
  <c r="AC104" i="1"/>
  <c r="AD104" i="1"/>
  <c r="AE104" i="1"/>
  <c r="AF104" i="1"/>
  <c r="AA105" i="1"/>
  <c r="AB105" i="1"/>
  <c r="AC105" i="1"/>
  <c r="AD105" i="1"/>
  <c r="AE105" i="1"/>
  <c r="AF105" i="1"/>
  <c r="AA106" i="1"/>
  <c r="AB106" i="1"/>
  <c r="AC106" i="1"/>
  <c r="AD106" i="1"/>
  <c r="AE106" i="1"/>
  <c r="AF106" i="1"/>
  <c r="AF2" i="1"/>
  <c r="AE2" i="1"/>
  <c r="AD2" i="1"/>
  <c r="AC2" i="1"/>
  <c r="AB2" i="1"/>
  <c r="AA2" i="1"/>
  <c r="R10" i="1"/>
  <c r="S10" i="1"/>
  <c r="T10" i="1"/>
  <c r="U10" i="1"/>
  <c r="V10" i="1"/>
  <c r="W10" i="1"/>
  <c r="R12" i="1"/>
  <c r="S12" i="1"/>
  <c r="T12" i="1"/>
  <c r="U12" i="1"/>
  <c r="V12" i="1"/>
  <c r="W12" i="1"/>
  <c r="R14" i="1"/>
  <c r="S14" i="1"/>
  <c r="T14" i="1"/>
  <c r="U14" i="1"/>
  <c r="V14" i="1"/>
  <c r="W14" i="1"/>
  <c r="R16" i="1"/>
  <c r="S16" i="1"/>
  <c r="T16" i="1"/>
  <c r="U16" i="1"/>
  <c r="V16" i="1"/>
  <c r="W16" i="1"/>
  <c r="R17" i="1"/>
  <c r="S17" i="1"/>
  <c r="T17" i="1"/>
  <c r="U17" i="1"/>
  <c r="V17" i="1"/>
  <c r="W17" i="1"/>
  <c r="R18" i="1"/>
  <c r="S18" i="1"/>
  <c r="T18" i="1"/>
  <c r="U18" i="1"/>
  <c r="V18" i="1"/>
  <c r="W18" i="1"/>
  <c r="R20" i="1"/>
  <c r="S20" i="1"/>
  <c r="T20" i="1"/>
  <c r="U20" i="1"/>
  <c r="V20" i="1"/>
  <c r="W20" i="1"/>
  <c r="R22" i="1"/>
  <c r="S22" i="1"/>
  <c r="T22" i="1"/>
  <c r="U22" i="1"/>
  <c r="V22" i="1"/>
  <c r="W22" i="1"/>
  <c r="R24" i="1"/>
  <c r="S24" i="1"/>
  <c r="T24" i="1"/>
  <c r="U24" i="1"/>
  <c r="V24" i="1"/>
  <c r="W24" i="1"/>
  <c r="R25" i="1"/>
  <c r="S25" i="1"/>
  <c r="T25" i="1"/>
  <c r="U25" i="1"/>
  <c r="V25" i="1"/>
  <c r="W25" i="1"/>
  <c r="R34" i="1"/>
  <c r="S34" i="1"/>
  <c r="T34" i="1"/>
  <c r="U34" i="1"/>
  <c r="V34" i="1"/>
  <c r="W34" i="1"/>
  <c r="R35" i="1"/>
  <c r="S35" i="1"/>
  <c r="T35" i="1"/>
  <c r="U35" i="1"/>
  <c r="V35" i="1"/>
  <c r="W35" i="1"/>
  <c r="R36" i="1"/>
  <c r="S36" i="1"/>
  <c r="T36" i="1"/>
  <c r="U36" i="1"/>
  <c r="V36" i="1"/>
  <c r="W36" i="1"/>
  <c r="R37" i="1"/>
  <c r="S37" i="1"/>
  <c r="T37" i="1"/>
  <c r="U37" i="1"/>
  <c r="V37" i="1"/>
  <c r="W37" i="1"/>
  <c r="R38" i="1"/>
  <c r="S38" i="1"/>
  <c r="T38" i="1"/>
  <c r="U38" i="1"/>
  <c r="V38" i="1"/>
  <c r="W38" i="1"/>
  <c r="R39" i="1"/>
  <c r="S39" i="1"/>
  <c r="T39" i="1"/>
  <c r="U39" i="1"/>
  <c r="V39" i="1"/>
  <c r="W39" i="1"/>
  <c r="R40" i="1"/>
  <c r="S40" i="1"/>
  <c r="T40" i="1"/>
  <c r="U40" i="1"/>
  <c r="V40" i="1"/>
  <c r="W40" i="1"/>
  <c r="R41" i="1"/>
  <c r="S41" i="1"/>
  <c r="T41" i="1"/>
  <c r="U41" i="1"/>
  <c r="V41" i="1"/>
  <c r="W41" i="1"/>
  <c r="R42" i="1"/>
  <c r="S42" i="1"/>
  <c r="T42" i="1"/>
  <c r="U42" i="1"/>
  <c r="V42" i="1"/>
  <c r="W42" i="1"/>
  <c r="R43" i="1"/>
  <c r="S43" i="1"/>
  <c r="T43" i="1"/>
  <c r="U43" i="1"/>
  <c r="V43" i="1"/>
  <c r="W43" i="1"/>
  <c r="R44" i="1"/>
  <c r="S44" i="1"/>
  <c r="T44" i="1"/>
  <c r="U44" i="1"/>
  <c r="V44" i="1"/>
  <c r="W44" i="1"/>
  <c r="R45" i="1"/>
  <c r="S45" i="1"/>
  <c r="T45" i="1"/>
  <c r="U45" i="1"/>
  <c r="V45" i="1"/>
  <c r="W45" i="1"/>
  <c r="R46" i="1"/>
  <c r="S46" i="1"/>
  <c r="T46" i="1"/>
  <c r="U46" i="1"/>
  <c r="V46" i="1"/>
  <c r="W46" i="1"/>
  <c r="R47" i="1"/>
  <c r="S47" i="1"/>
  <c r="T47" i="1"/>
  <c r="U47" i="1"/>
  <c r="V47" i="1"/>
  <c r="W47" i="1"/>
  <c r="R48" i="1"/>
  <c r="S48" i="1"/>
  <c r="T48" i="1"/>
  <c r="U48" i="1"/>
  <c r="V48" i="1"/>
  <c r="W48" i="1"/>
  <c r="R49" i="1"/>
  <c r="S49" i="1"/>
  <c r="T49" i="1"/>
  <c r="U49" i="1"/>
  <c r="V49" i="1"/>
  <c r="W49" i="1"/>
  <c r="R58" i="1"/>
  <c r="S58" i="1"/>
  <c r="T58" i="1"/>
  <c r="U58" i="1"/>
  <c r="V58" i="1"/>
  <c r="W58" i="1"/>
  <c r="R59" i="1"/>
  <c r="S59" i="1"/>
  <c r="T59" i="1"/>
  <c r="U59" i="1"/>
  <c r="V59" i="1"/>
  <c r="W59" i="1"/>
  <c r="R60" i="1"/>
  <c r="S60" i="1"/>
  <c r="T60" i="1"/>
  <c r="U60" i="1"/>
  <c r="V60" i="1"/>
  <c r="W60" i="1"/>
  <c r="R61" i="1"/>
  <c r="S61" i="1"/>
  <c r="T61" i="1"/>
  <c r="U61" i="1"/>
  <c r="V61" i="1"/>
  <c r="W61" i="1"/>
  <c r="R62" i="1"/>
  <c r="S62" i="1"/>
  <c r="T62" i="1"/>
  <c r="U62" i="1"/>
  <c r="V62" i="1"/>
  <c r="W62" i="1"/>
  <c r="R63" i="1"/>
  <c r="S63" i="1"/>
  <c r="T63" i="1"/>
  <c r="U63" i="1"/>
  <c r="V63" i="1"/>
  <c r="W63" i="1"/>
  <c r="R64" i="1"/>
  <c r="S64" i="1"/>
  <c r="T64" i="1"/>
  <c r="U64" i="1"/>
  <c r="V64" i="1"/>
  <c r="W64" i="1"/>
  <c r="R65" i="1"/>
  <c r="S65" i="1"/>
  <c r="T65" i="1"/>
  <c r="U65" i="1"/>
  <c r="V65" i="1"/>
  <c r="W65" i="1"/>
  <c r="R66" i="1"/>
  <c r="S66" i="1"/>
  <c r="T66" i="1"/>
  <c r="U66" i="1"/>
  <c r="V66" i="1"/>
  <c r="W66" i="1"/>
  <c r="R67" i="1"/>
  <c r="S67" i="1"/>
  <c r="T67" i="1"/>
  <c r="U67" i="1"/>
  <c r="V67" i="1"/>
  <c r="W67" i="1"/>
  <c r="R68" i="1"/>
  <c r="S68" i="1"/>
  <c r="T68" i="1"/>
  <c r="U68" i="1"/>
  <c r="V68" i="1"/>
  <c r="W68" i="1"/>
  <c r="R69" i="1"/>
  <c r="S69" i="1"/>
  <c r="T69" i="1"/>
  <c r="U69" i="1"/>
  <c r="V69" i="1"/>
  <c r="W69" i="1"/>
  <c r="R70" i="1"/>
  <c r="S70" i="1"/>
  <c r="T70" i="1"/>
  <c r="U70" i="1"/>
  <c r="V70" i="1"/>
  <c r="W70" i="1"/>
  <c r="R71" i="1"/>
  <c r="S71" i="1"/>
  <c r="T71" i="1"/>
  <c r="U71" i="1"/>
  <c r="V71" i="1"/>
  <c r="W71" i="1"/>
  <c r="R72" i="1"/>
  <c r="S72" i="1"/>
  <c r="T72" i="1"/>
  <c r="U72" i="1"/>
  <c r="V72" i="1"/>
  <c r="W72" i="1"/>
  <c r="R73" i="1"/>
  <c r="S73" i="1"/>
  <c r="T73" i="1"/>
  <c r="U73" i="1"/>
  <c r="V73" i="1"/>
  <c r="W73" i="1"/>
  <c r="M3" i="1"/>
  <c r="M4" i="1"/>
  <c r="M5" i="1"/>
  <c r="M6" i="1"/>
  <c r="M7" i="1"/>
  <c r="M8" i="1"/>
  <c r="M9" i="1"/>
  <c r="M11" i="1"/>
  <c r="M13" i="1"/>
  <c r="M15" i="1"/>
  <c r="M19" i="1"/>
  <c r="M21" i="1"/>
  <c r="M22" i="1"/>
  <c r="M23" i="1"/>
  <c r="M50" i="1"/>
  <c r="M51" i="1"/>
  <c r="M27" i="1" s="1"/>
  <c r="M52" i="1"/>
  <c r="M53" i="1"/>
  <c r="M29" i="1" s="1"/>
  <c r="M54" i="1"/>
  <c r="M55" i="1"/>
  <c r="M56" i="1"/>
  <c r="M57" i="1"/>
  <c r="M74" i="1"/>
  <c r="M75" i="1"/>
  <c r="M76" i="1"/>
  <c r="M77" i="1"/>
  <c r="M78" i="1"/>
  <c r="M79" i="1"/>
  <c r="M80" i="1"/>
  <c r="M81" i="1"/>
  <c r="M82" i="1"/>
  <c r="M83" i="1"/>
  <c r="M84" i="1"/>
  <c r="M85" i="1"/>
  <c r="M86" i="1"/>
  <c r="M87" i="1"/>
  <c r="M88" i="1"/>
  <c r="M89" i="1"/>
  <c r="M90" i="1"/>
  <c r="M91" i="1"/>
  <c r="M92" i="1"/>
  <c r="M93" i="1"/>
  <c r="M94" i="1"/>
  <c r="M95" i="1"/>
  <c r="M96" i="1"/>
  <c r="M97" i="1"/>
  <c r="M98" i="1"/>
  <c r="M102" i="1"/>
  <c r="M103" i="1"/>
  <c r="M104" i="1"/>
  <c r="M105" i="1"/>
  <c r="M106" i="1"/>
  <c r="M2" i="1"/>
  <c r="K3" i="1"/>
  <c r="K4" i="1"/>
  <c r="K5" i="1"/>
  <c r="K6" i="1"/>
  <c r="K134" i="1" s="1"/>
  <c r="K7" i="1"/>
  <c r="K8" i="1"/>
  <c r="K9" i="1"/>
  <c r="K11" i="1"/>
  <c r="K13" i="1"/>
  <c r="K15" i="1"/>
  <c r="K19" i="1"/>
  <c r="K21" i="1"/>
  <c r="K23" i="1"/>
  <c r="K50" i="1"/>
  <c r="K51" i="1"/>
  <c r="K52" i="1"/>
  <c r="K53" i="1"/>
  <c r="K54" i="1"/>
  <c r="K55" i="1"/>
  <c r="K56" i="1"/>
  <c r="K32" i="1" s="1"/>
  <c r="K57" i="1"/>
  <c r="K74" i="1"/>
  <c r="K75" i="1"/>
  <c r="K76" i="1"/>
  <c r="K77" i="1"/>
  <c r="K78" i="1"/>
  <c r="K79" i="1"/>
  <c r="K80" i="1"/>
  <c r="K81" i="1"/>
  <c r="K82" i="1"/>
  <c r="K83" i="1"/>
  <c r="K84" i="1"/>
  <c r="K85" i="1"/>
  <c r="K86" i="1"/>
  <c r="K87" i="1"/>
  <c r="K88" i="1"/>
  <c r="K89" i="1"/>
  <c r="K90" i="1"/>
  <c r="K91" i="1"/>
  <c r="K92" i="1"/>
  <c r="K93" i="1"/>
  <c r="K94" i="1"/>
  <c r="K95" i="1"/>
  <c r="K96" i="1"/>
  <c r="K97" i="1"/>
  <c r="K98" i="1"/>
  <c r="K102" i="1"/>
  <c r="K103" i="1"/>
  <c r="K104" i="1"/>
  <c r="K105" i="1"/>
  <c r="K106" i="1"/>
  <c r="K2" i="1"/>
  <c r="I3" i="1"/>
  <c r="I4" i="1"/>
  <c r="I5" i="1"/>
  <c r="I6" i="1"/>
  <c r="I7" i="1"/>
  <c r="I8" i="1"/>
  <c r="I9" i="1"/>
  <c r="I137" i="1" s="1"/>
  <c r="I11" i="1"/>
  <c r="I13" i="1"/>
  <c r="I15" i="1"/>
  <c r="I19" i="1"/>
  <c r="I21" i="1"/>
  <c r="I23" i="1"/>
  <c r="I50" i="1"/>
  <c r="I51" i="1"/>
  <c r="I52" i="1"/>
  <c r="I28" i="1" s="1"/>
  <c r="I53" i="1"/>
  <c r="I54" i="1"/>
  <c r="I55" i="1"/>
  <c r="I56" i="1"/>
  <c r="I57" i="1"/>
  <c r="I74" i="1"/>
  <c r="I75" i="1"/>
  <c r="I76" i="1"/>
  <c r="I77" i="1"/>
  <c r="I78" i="1"/>
  <c r="I79" i="1"/>
  <c r="I80" i="1"/>
  <c r="I81" i="1"/>
  <c r="I82" i="1"/>
  <c r="I83" i="1"/>
  <c r="I84" i="1"/>
  <c r="I85" i="1"/>
  <c r="I86" i="1"/>
  <c r="I87" i="1"/>
  <c r="I88" i="1"/>
  <c r="I89" i="1"/>
  <c r="I90" i="1"/>
  <c r="I91" i="1"/>
  <c r="I92" i="1"/>
  <c r="I93" i="1"/>
  <c r="I94" i="1"/>
  <c r="I95" i="1"/>
  <c r="I96" i="1"/>
  <c r="I97" i="1"/>
  <c r="I98" i="1"/>
  <c r="I102" i="1"/>
  <c r="I103" i="1"/>
  <c r="I104" i="1"/>
  <c r="I105" i="1"/>
  <c r="I106" i="1"/>
  <c r="I2" i="1"/>
  <c r="G53" i="9"/>
  <c r="F53" i="9"/>
  <c r="I53" i="9" s="1"/>
  <c r="E53" i="9"/>
  <c r="G77" i="12" s="1"/>
  <c r="G48" i="9"/>
  <c r="J48" i="9" s="1"/>
  <c r="F48" i="9"/>
  <c r="I48" i="9" s="1"/>
  <c r="E48" i="9"/>
  <c r="G72" i="12" s="1"/>
  <c r="G43" i="9"/>
  <c r="J43" i="9" s="1"/>
  <c r="F43" i="9"/>
  <c r="I43" i="9" s="1"/>
  <c r="E43" i="9"/>
  <c r="G38" i="9"/>
  <c r="J38" i="9" s="1"/>
  <c r="F38" i="9"/>
  <c r="I38" i="9" s="1"/>
  <c r="E38" i="9"/>
  <c r="G33" i="9"/>
  <c r="J33" i="9" s="1"/>
  <c r="F33" i="9"/>
  <c r="I33" i="9" s="1"/>
  <c r="E33" i="9"/>
  <c r="G28" i="9"/>
  <c r="J28" i="9" s="1"/>
  <c r="F28" i="9"/>
  <c r="I28" i="9" s="1"/>
  <c r="E28" i="9"/>
  <c r="G52" i="12" s="1"/>
  <c r="G23" i="9"/>
  <c r="J23" i="9" s="1"/>
  <c r="F23" i="9"/>
  <c r="I23" i="9" s="1"/>
  <c r="E23" i="9"/>
  <c r="G18" i="9"/>
  <c r="J18" i="9" s="1"/>
  <c r="F18" i="9"/>
  <c r="I18" i="9" s="1"/>
  <c r="E18" i="9"/>
  <c r="H18" i="9" s="1"/>
  <c r="G13" i="9"/>
  <c r="J13" i="9" s="1"/>
  <c r="F13" i="9"/>
  <c r="I13" i="9" s="1"/>
  <c r="E13" i="9"/>
  <c r="H13" i="9" s="1"/>
  <c r="G8" i="9"/>
  <c r="J8" i="9" s="1"/>
  <c r="F8" i="9"/>
  <c r="I8" i="9" s="1"/>
  <c r="E8" i="9"/>
  <c r="H8" i="9" s="1"/>
  <c r="F3" i="9"/>
  <c r="I3" i="9" s="1"/>
  <c r="G3" i="9"/>
  <c r="J3" i="9" s="1"/>
  <c r="E3" i="9"/>
  <c r="H3" i="9" s="1"/>
  <c r="G16" i="7"/>
  <c r="G15" i="7"/>
  <c r="G14" i="7"/>
  <c r="G13" i="7"/>
  <c r="G12" i="7"/>
  <c r="G11" i="7"/>
  <c r="G10" i="7"/>
  <c r="G9" i="7"/>
  <c r="G8" i="7"/>
  <c r="G7" i="7"/>
  <c r="G6" i="7"/>
  <c r="G5" i="7"/>
  <c r="G4" i="7"/>
  <c r="G3" i="7"/>
  <c r="G2" i="7"/>
  <c r="F16" i="7"/>
  <c r="F15" i="7"/>
  <c r="F14" i="7"/>
  <c r="F13" i="7"/>
  <c r="F12" i="7"/>
  <c r="F11" i="7"/>
  <c r="F10" i="7"/>
  <c r="F9" i="7"/>
  <c r="F8" i="7"/>
  <c r="F7" i="7"/>
  <c r="F5" i="7"/>
  <c r="F6" i="7"/>
  <c r="F2" i="7"/>
  <c r="F3" i="7"/>
  <c r="F4" i="7"/>
  <c r="K131" i="1" l="1"/>
  <c r="AC28" i="1"/>
  <c r="M30" i="1"/>
  <c r="M132" i="1"/>
  <c r="AC33" i="1"/>
  <c r="M136" i="1"/>
  <c r="M31" i="1"/>
  <c r="I30" i="1"/>
  <c r="I27" i="1"/>
  <c r="K31" i="1"/>
  <c r="K133" i="1"/>
  <c r="M33" i="1"/>
  <c r="K28" i="1"/>
  <c r="K114" i="1"/>
  <c r="K121" i="1" s="1"/>
  <c r="I32" i="1"/>
  <c r="AC114" i="1"/>
  <c r="AC121" i="1" s="1"/>
  <c r="AC113" i="1"/>
  <c r="AC120" i="1" s="1"/>
  <c r="M28" i="1"/>
  <c r="AF134" i="1"/>
  <c r="I135" i="1"/>
  <c r="M129" i="1"/>
  <c r="I133" i="1"/>
  <c r="K137" i="1"/>
  <c r="AB124" i="1"/>
  <c r="I118" i="1"/>
  <c r="I26" i="1"/>
  <c r="I116" i="1"/>
  <c r="K30" i="1"/>
  <c r="K132" i="1"/>
  <c r="M119" i="1"/>
  <c r="M122" i="1"/>
  <c r="M117" i="1"/>
  <c r="M137" i="1"/>
  <c r="AC129" i="1"/>
  <c r="AE126" i="1"/>
  <c r="AA124" i="1"/>
  <c r="AC137" i="1"/>
  <c r="AE134" i="1"/>
  <c r="AA132" i="1"/>
  <c r="K29" i="1"/>
  <c r="AB129" i="1"/>
  <c r="AD126" i="1"/>
  <c r="AF123" i="1"/>
  <c r="AF114" i="1"/>
  <c r="AF121" i="1" s="1"/>
  <c r="AF113" i="1"/>
  <c r="AF120" i="1" s="1"/>
  <c r="AB137" i="1"/>
  <c r="AD134" i="1"/>
  <c r="AF131" i="1"/>
  <c r="AA127" i="1"/>
  <c r="AA135" i="1"/>
  <c r="AB132" i="1"/>
  <c r="I128" i="1"/>
  <c r="M130" i="1"/>
  <c r="M112" i="1"/>
  <c r="M32" i="1"/>
  <c r="M135" i="1"/>
  <c r="AA129" i="1"/>
  <c r="AC126" i="1"/>
  <c r="AE123" i="1"/>
  <c r="AE114" i="1"/>
  <c r="AE121" i="1" s="1"/>
  <c r="AE113" i="1"/>
  <c r="AE120" i="1" s="1"/>
  <c r="AA137" i="1"/>
  <c r="AC134" i="1"/>
  <c r="AE131" i="1"/>
  <c r="I127" i="1"/>
  <c r="I114" i="1"/>
  <c r="I121" i="1" s="1"/>
  <c r="K27" i="1"/>
  <c r="M134" i="1"/>
  <c r="AA130" i="1"/>
  <c r="AA112" i="1"/>
  <c r="AF128" i="1"/>
  <c r="AB126" i="1"/>
  <c r="AD123" i="1"/>
  <c r="AD114" i="1"/>
  <c r="AD121" i="1" s="1"/>
  <c r="AD113" i="1"/>
  <c r="AD120" i="1" s="1"/>
  <c r="AF136" i="1"/>
  <c r="AB134" i="1"/>
  <c r="AD131" i="1"/>
  <c r="M113" i="1"/>
  <c r="M120" i="1" s="1"/>
  <c r="AD137" i="1"/>
  <c r="K118" i="1"/>
  <c r="K26" i="1"/>
  <c r="K116" i="1"/>
  <c r="M133" i="1"/>
  <c r="AB130" i="1"/>
  <c r="AB112" i="1"/>
  <c r="AE128" i="1"/>
  <c r="AA126" i="1"/>
  <c r="AC123" i="1"/>
  <c r="AE136" i="1"/>
  <c r="AA134" i="1"/>
  <c r="AC131" i="1"/>
  <c r="I129" i="1"/>
  <c r="I125" i="1"/>
  <c r="K129" i="1"/>
  <c r="AC130" i="1"/>
  <c r="AC112" i="1"/>
  <c r="AD128" i="1"/>
  <c r="AF125" i="1"/>
  <c r="AB123" i="1"/>
  <c r="AB114" i="1"/>
  <c r="AB121" i="1" s="1"/>
  <c r="AB113" i="1"/>
  <c r="AB120" i="1" s="1"/>
  <c r="AD136" i="1"/>
  <c r="AF133" i="1"/>
  <c r="AB131" i="1"/>
  <c r="I126" i="1"/>
  <c r="I124" i="1"/>
  <c r="I113" i="1"/>
  <c r="I120" i="1" s="1"/>
  <c r="K128" i="1"/>
  <c r="M131" i="1"/>
  <c r="AD130" i="1"/>
  <c r="AD112" i="1"/>
  <c r="AC128" i="1"/>
  <c r="AE125" i="1"/>
  <c r="AA123" i="1"/>
  <c r="AA114" i="1"/>
  <c r="AA121" i="1" s="1"/>
  <c r="AA113" i="1"/>
  <c r="AA120" i="1" s="1"/>
  <c r="AC136" i="1"/>
  <c r="AE133" i="1"/>
  <c r="AA131" i="1"/>
  <c r="AE137" i="1"/>
  <c r="AF126" i="1"/>
  <c r="K127" i="1"/>
  <c r="AE130" i="1"/>
  <c r="AE112" i="1"/>
  <c r="AE111" i="1" s="1"/>
  <c r="AF119" i="1"/>
  <c r="AF118" i="1"/>
  <c r="AB128" i="1"/>
  <c r="AD125" i="1"/>
  <c r="AF122" i="1"/>
  <c r="AF117" i="1"/>
  <c r="AF116" i="1"/>
  <c r="AF26" i="1"/>
  <c r="AB136" i="1"/>
  <c r="AD133" i="1"/>
  <c r="K130" i="1"/>
  <c r="K112" i="1"/>
  <c r="I119" i="1"/>
  <c r="I122" i="1"/>
  <c r="I117" i="1"/>
  <c r="I136" i="1"/>
  <c r="K126" i="1"/>
  <c r="M118" i="1"/>
  <c r="M26" i="1"/>
  <c r="M116" i="1"/>
  <c r="AF130" i="1"/>
  <c r="AF112" i="1"/>
  <c r="AE119" i="1"/>
  <c r="AE118" i="1"/>
  <c r="AA128" i="1"/>
  <c r="AC125" i="1"/>
  <c r="AE122" i="1"/>
  <c r="AE117" i="1"/>
  <c r="AE116" i="1"/>
  <c r="AE26" i="1"/>
  <c r="AA136" i="1"/>
  <c r="AC133" i="1"/>
  <c r="M124" i="1"/>
  <c r="AC132" i="1"/>
  <c r="AD129" i="1"/>
  <c r="AD119" i="1"/>
  <c r="AD118" i="1"/>
  <c r="AF127" i="1"/>
  <c r="AB125" i="1"/>
  <c r="AD122" i="1"/>
  <c r="AD117" i="1"/>
  <c r="AD116" i="1"/>
  <c r="AD26" i="1"/>
  <c r="AF135" i="1"/>
  <c r="AB133" i="1"/>
  <c r="I130" i="1"/>
  <c r="I112" i="1"/>
  <c r="I134" i="1"/>
  <c r="K124" i="1"/>
  <c r="K113" i="1"/>
  <c r="K120" i="1" s="1"/>
  <c r="M128" i="1"/>
  <c r="AC119" i="1"/>
  <c r="AC118" i="1"/>
  <c r="AE127" i="1"/>
  <c r="AA125" i="1"/>
  <c r="AC122" i="1"/>
  <c r="AC117" i="1"/>
  <c r="AC116" i="1"/>
  <c r="AC26" i="1"/>
  <c r="AE135" i="1"/>
  <c r="AA133" i="1"/>
  <c r="AE129" i="1"/>
  <c r="I31" i="1"/>
  <c r="K123" i="1"/>
  <c r="M127" i="1"/>
  <c r="AB119" i="1"/>
  <c r="AB118" i="1"/>
  <c r="AD127" i="1"/>
  <c r="AF124" i="1"/>
  <c r="AB122" i="1"/>
  <c r="AB117" i="1"/>
  <c r="AB26" i="1"/>
  <c r="AB116" i="1"/>
  <c r="AB115" i="1" s="1"/>
  <c r="AD135" i="1"/>
  <c r="AF132" i="1"/>
  <c r="AC124" i="1"/>
  <c r="I33" i="1"/>
  <c r="I132" i="1"/>
  <c r="K122" i="1"/>
  <c r="K117" i="1"/>
  <c r="K136" i="1"/>
  <c r="M126" i="1"/>
  <c r="M114" i="1"/>
  <c r="M121" i="1" s="1"/>
  <c r="AA119" i="1"/>
  <c r="AA118" i="1"/>
  <c r="AC127" i="1"/>
  <c r="AE124" i="1"/>
  <c r="AA122" i="1"/>
  <c r="AA117" i="1"/>
  <c r="AA26" i="1"/>
  <c r="AA116" i="1"/>
  <c r="AC135" i="1"/>
  <c r="AE132" i="1"/>
  <c r="M123" i="1"/>
  <c r="I123" i="1"/>
  <c r="K125" i="1"/>
  <c r="K119" i="1"/>
  <c r="I29" i="1"/>
  <c r="I131" i="1"/>
  <c r="K33" i="1"/>
  <c r="K135" i="1"/>
  <c r="M125" i="1"/>
  <c r="AF129" i="1"/>
  <c r="AB127" i="1"/>
  <c r="AD124" i="1"/>
  <c r="AF137" i="1"/>
  <c r="AB135" i="1"/>
  <c r="AD132" i="1"/>
  <c r="O42" i="11"/>
  <c r="R25" i="12"/>
  <c r="G26" i="12"/>
  <c r="J27" i="12"/>
  <c r="U27" i="12" s="1"/>
  <c r="T25" i="12"/>
  <c r="F11" i="16" a="1"/>
  <c r="F11" i="16" s="1"/>
  <c r="F12" i="16" a="1"/>
  <c r="F12" i="16" s="1"/>
  <c r="F4" i="16" a="1"/>
  <c r="F4" i="16" s="1"/>
  <c r="F5" i="16" a="1"/>
  <c r="F5" i="16" s="1"/>
  <c r="F6" i="16" a="1"/>
  <c r="F6" i="16" s="1"/>
  <c r="F7" i="16" a="1"/>
  <c r="F7" i="16" s="1"/>
  <c r="F10" i="16" a="1"/>
  <c r="F10" i="16" s="1"/>
  <c r="F8" i="16" a="1"/>
  <c r="F8" i="16" s="1"/>
  <c r="F9" i="16" a="1"/>
  <c r="F9" i="16" s="1"/>
  <c r="K12" i="16" a="1"/>
  <c r="K12" i="16" s="1"/>
  <c r="K4" i="16" a="1"/>
  <c r="K4" i="16" s="1"/>
  <c r="K11" i="16" a="1"/>
  <c r="K11" i="16" s="1"/>
  <c r="K5" i="16" a="1"/>
  <c r="K5" i="16" s="1"/>
  <c r="K6" i="16" a="1"/>
  <c r="K6" i="16" s="1"/>
  <c r="K7" i="16" a="1"/>
  <c r="K7" i="16" s="1"/>
  <c r="K8" i="16" a="1"/>
  <c r="K8" i="16" s="1"/>
  <c r="K9" i="16" a="1"/>
  <c r="K9" i="16" s="1"/>
  <c r="K10" i="16" a="1"/>
  <c r="K10" i="16" s="1"/>
  <c r="J5" i="16" a="1"/>
  <c r="J5" i="16" s="1"/>
  <c r="J6" i="16" a="1"/>
  <c r="J6" i="16" s="1"/>
  <c r="J4" i="16" a="1"/>
  <c r="J4" i="16" s="1"/>
  <c r="J7" i="16" a="1"/>
  <c r="J7" i="16" s="1"/>
  <c r="J8" i="16" a="1"/>
  <c r="J8" i="16" s="1"/>
  <c r="J9" i="16" a="1"/>
  <c r="J9" i="16" s="1"/>
  <c r="J11" i="16" a="1"/>
  <c r="J11" i="16" s="1"/>
  <c r="J10" i="16" a="1"/>
  <c r="J10" i="16" s="1"/>
  <c r="J12" i="16" a="1"/>
  <c r="J12" i="16" s="1"/>
  <c r="I8" i="16" a="1"/>
  <c r="I8" i="16" s="1"/>
  <c r="I9" i="16" a="1"/>
  <c r="I9" i="16" s="1"/>
  <c r="I12" i="16" a="1"/>
  <c r="I12" i="16" s="1"/>
  <c r="I10" i="16" a="1"/>
  <c r="I10" i="16" s="1"/>
  <c r="I11" i="16" a="1"/>
  <c r="I11" i="16" s="1"/>
  <c r="I4" i="16" a="1"/>
  <c r="I4" i="16" s="1"/>
  <c r="I5" i="16" a="1"/>
  <c r="I5" i="16" s="1"/>
  <c r="I6" i="16" a="1"/>
  <c r="I6" i="16" s="1"/>
  <c r="I7" i="16" a="1"/>
  <c r="I7" i="16" s="1"/>
  <c r="H5" i="16" a="1"/>
  <c r="H5" i="16" s="1"/>
  <c r="H6" i="16" a="1"/>
  <c r="H6" i="16" s="1"/>
  <c r="H7" i="16" a="1"/>
  <c r="H7" i="16" s="1"/>
  <c r="H8" i="16" a="1"/>
  <c r="H8" i="16" s="1"/>
  <c r="H9" i="16" a="1"/>
  <c r="H9" i="16" s="1"/>
  <c r="H10" i="16" a="1"/>
  <c r="H10" i="16" s="1"/>
  <c r="H11" i="16" a="1"/>
  <c r="H11" i="16" s="1"/>
  <c r="H12" i="16" a="1"/>
  <c r="H12" i="16" s="1"/>
  <c r="H4" i="16" a="1"/>
  <c r="H4" i="16" s="1"/>
  <c r="G5" i="16" a="1"/>
  <c r="G5" i="16" s="1"/>
  <c r="G6" i="16" a="1"/>
  <c r="G6" i="16" s="1"/>
  <c r="G7" i="16" a="1"/>
  <c r="G7" i="16" s="1"/>
  <c r="G8" i="16" a="1"/>
  <c r="G8" i="16" s="1"/>
  <c r="G9" i="16" a="1"/>
  <c r="G9" i="16" s="1"/>
  <c r="G10" i="16" a="1"/>
  <c r="G10" i="16" s="1"/>
  <c r="G11" i="16" a="1"/>
  <c r="G11" i="16" s="1"/>
  <c r="G4" i="16" a="1"/>
  <c r="G4" i="16" s="1"/>
  <c r="G12" i="16" a="1"/>
  <c r="G12" i="16" s="1"/>
  <c r="AF108" i="3"/>
  <c r="AF107" i="3"/>
  <c r="AE108" i="3"/>
  <c r="AE107" i="3"/>
  <c r="F2" i="16"/>
  <c r="O24" i="12"/>
  <c r="P25" i="12"/>
  <c r="Q25" i="12"/>
  <c r="S25" i="12"/>
  <c r="T42" i="11"/>
  <c r="Q41" i="11"/>
  <c r="Q42" i="11"/>
  <c r="P42" i="11"/>
  <c r="S42" i="11"/>
  <c r="R42" i="11"/>
  <c r="T41" i="11"/>
  <c r="S41" i="11"/>
  <c r="R41" i="11"/>
  <c r="P41" i="11"/>
  <c r="L46" i="9"/>
  <c r="P24" i="9"/>
  <c r="O11" i="9"/>
  <c r="P16" i="9"/>
  <c r="L54" i="9"/>
  <c r="O27" i="9"/>
  <c r="K7" i="9"/>
  <c r="P6" i="9"/>
  <c r="K52" i="9"/>
  <c r="L12" i="9"/>
  <c r="K2" i="9"/>
  <c r="N19" i="9"/>
  <c r="K45" i="9"/>
  <c r="L5" i="9"/>
  <c r="L37" i="9"/>
  <c r="P56" i="9"/>
  <c r="L30" i="9"/>
  <c r="K49" i="9"/>
  <c r="K36" i="9"/>
  <c r="N22" i="9"/>
  <c r="M6" i="9"/>
  <c r="L44" i="9"/>
  <c r="N54" i="9"/>
  <c r="L21" i="9"/>
  <c r="M34" i="9"/>
  <c r="K26" i="9"/>
  <c r="M14" i="9"/>
  <c r="K35" i="9"/>
  <c r="P22" i="9"/>
  <c r="M10" i="9"/>
  <c r="K4" i="9"/>
  <c r="L22" i="9"/>
  <c r="M22" i="9"/>
  <c r="K47" i="9"/>
  <c r="K41" i="9"/>
  <c r="K16" i="9"/>
  <c r="K34" i="9"/>
  <c r="K21" i="9"/>
  <c r="O54" i="9"/>
  <c r="M46" i="9"/>
  <c r="K40" i="9"/>
  <c r="K15" i="9"/>
  <c r="M54" i="9"/>
  <c r="N11" i="9"/>
  <c r="O51" i="9"/>
  <c r="O6" i="9"/>
  <c r="K51" i="9"/>
  <c r="K32" i="9"/>
  <c r="M26" i="9"/>
  <c r="K20" i="9"/>
  <c r="N51" i="9"/>
  <c r="N6" i="9"/>
  <c r="K56" i="9"/>
  <c r="K50" i="9"/>
  <c r="O19" i="9"/>
  <c r="P40" i="9"/>
  <c r="L6" i="9"/>
  <c r="M50" i="9"/>
  <c r="K44" i="9"/>
  <c r="K37" i="9"/>
  <c r="K31" i="9"/>
  <c r="K25" i="9"/>
  <c r="K19" i="9"/>
  <c r="K12" i="9"/>
  <c r="N35" i="9"/>
  <c r="G67" i="12"/>
  <c r="P32" i="9"/>
  <c r="K55" i="9"/>
  <c r="H43" i="9"/>
  <c r="L43" i="9" s="1"/>
  <c r="G27" i="12"/>
  <c r="N49" i="9"/>
  <c r="K42" i="9"/>
  <c r="M30" i="9"/>
  <c r="K24" i="9"/>
  <c r="K17" i="9"/>
  <c r="K5" i="9"/>
  <c r="N27" i="9"/>
  <c r="H23" i="9"/>
  <c r="K23" i="9" s="1"/>
  <c r="O22" i="9"/>
  <c r="P54" i="9"/>
  <c r="H48" i="9"/>
  <c r="N48" i="9" s="1"/>
  <c r="M42" i="9"/>
  <c r="N17" i="9"/>
  <c r="K10" i="9"/>
  <c r="G62" i="12"/>
  <c r="S49" i="11"/>
  <c r="T49" i="11"/>
  <c r="Q49" i="11"/>
  <c r="O49" i="11"/>
  <c r="P49" i="11"/>
  <c r="R49" i="11"/>
  <c r="O25" i="12"/>
  <c r="O3" i="9"/>
  <c r="P3" i="9"/>
  <c r="K3" i="9"/>
  <c r="N3" i="9"/>
  <c r="L3" i="9"/>
  <c r="M3" i="9"/>
  <c r="K8" i="9"/>
  <c r="L8" i="9"/>
  <c r="M8" i="9"/>
  <c r="N8" i="9"/>
  <c r="P8" i="9"/>
  <c r="O8" i="9"/>
  <c r="K13" i="9"/>
  <c r="L13" i="9"/>
  <c r="M13" i="9"/>
  <c r="N13" i="9"/>
  <c r="O13" i="9"/>
  <c r="P13" i="9"/>
  <c r="K18" i="9"/>
  <c r="L18" i="9"/>
  <c r="M18" i="9"/>
  <c r="N18" i="9"/>
  <c r="O18" i="9"/>
  <c r="P18" i="9"/>
  <c r="H28" i="9"/>
  <c r="O56" i="9"/>
  <c r="K54" i="9"/>
  <c r="M51" i="9"/>
  <c r="K46" i="9"/>
  <c r="O40" i="9"/>
  <c r="M35" i="9"/>
  <c r="O32" i="9"/>
  <c r="K30" i="9"/>
  <c r="M27" i="9"/>
  <c r="O24" i="9"/>
  <c r="K22" i="9"/>
  <c r="M19" i="9"/>
  <c r="O16" i="9"/>
  <c r="K14" i="9"/>
  <c r="M11" i="9"/>
  <c r="K6" i="9"/>
  <c r="G42" i="12"/>
  <c r="H33" i="9"/>
  <c r="N56" i="9"/>
  <c r="L51" i="9"/>
  <c r="P45" i="9"/>
  <c r="N40" i="9"/>
  <c r="P37" i="9"/>
  <c r="L35" i="9"/>
  <c r="N32" i="9"/>
  <c r="P29" i="9"/>
  <c r="L27" i="9"/>
  <c r="N24" i="9"/>
  <c r="P21" i="9"/>
  <c r="L19" i="9"/>
  <c r="N16" i="9"/>
  <c r="L11" i="9"/>
  <c r="P5" i="9"/>
  <c r="G57" i="12"/>
  <c r="H38" i="9"/>
  <c r="M56" i="9"/>
  <c r="O45" i="9"/>
  <c r="M40" i="9"/>
  <c r="O37" i="9"/>
  <c r="M32" i="9"/>
  <c r="O29" i="9"/>
  <c r="K27" i="9"/>
  <c r="M24" i="9"/>
  <c r="O21" i="9"/>
  <c r="M16" i="9"/>
  <c r="K11" i="9"/>
  <c r="O5" i="9"/>
  <c r="L56" i="9"/>
  <c r="P50" i="9"/>
  <c r="N45" i="9"/>
  <c r="P42" i="9"/>
  <c r="L40" i="9"/>
  <c r="N37" i="9"/>
  <c r="P34" i="9"/>
  <c r="L32" i="9"/>
  <c r="N29" i="9"/>
  <c r="P26" i="9"/>
  <c r="L24" i="9"/>
  <c r="N21" i="9"/>
  <c r="L16" i="9"/>
  <c r="P10" i="9"/>
  <c r="N5" i="9"/>
  <c r="O50" i="9"/>
  <c r="M45" i="9"/>
  <c r="O42" i="9"/>
  <c r="M37" i="9"/>
  <c r="O34" i="9"/>
  <c r="M29" i="9"/>
  <c r="O26" i="9"/>
  <c r="M21" i="9"/>
  <c r="O10" i="9"/>
  <c r="M5" i="9"/>
  <c r="H53" i="9"/>
  <c r="P55" i="9"/>
  <c r="N50" i="9"/>
  <c r="P47" i="9"/>
  <c r="L45" i="9"/>
  <c r="N42" i="9"/>
  <c r="P39" i="9"/>
  <c r="K2" i="16" s="1"/>
  <c r="N34" i="9"/>
  <c r="P31" i="9"/>
  <c r="L29" i="9"/>
  <c r="N26" i="9"/>
  <c r="P23" i="9"/>
  <c r="P15" i="9"/>
  <c r="N10" i="9"/>
  <c r="P7" i="9"/>
  <c r="G37" i="12"/>
  <c r="O55" i="9"/>
  <c r="O47" i="9"/>
  <c r="O39" i="9"/>
  <c r="J2" i="16" s="1"/>
  <c r="O31" i="9"/>
  <c r="O23" i="9"/>
  <c r="O15" i="9"/>
  <c r="O7" i="9"/>
  <c r="N55" i="9"/>
  <c r="P52" i="9"/>
  <c r="L50" i="9"/>
  <c r="N47" i="9"/>
  <c r="P44" i="9"/>
  <c r="L42" i="9"/>
  <c r="N39" i="9"/>
  <c r="I2" i="16" s="1"/>
  <c r="P36" i="9"/>
  <c r="L34" i="9"/>
  <c r="N31" i="9"/>
  <c r="L26" i="9"/>
  <c r="N23" i="9"/>
  <c r="P20" i="9"/>
  <c r="N15" i="9"/>
  <c r="P12" i="9"/>
  <c r="L10" i="9"/>
  <c r="N7" i="9"/>
  <c r="P4" i="9"/>
  <c r="M55" i="9"/>
  <c r="O52" i="9"/>
  <c r="M47" i="9"/>
  <c r="O44" i="9"/>
  <c r="M39" i="9"/>
  <c r="H2" i="16" s="1"/>
  <c r="O36" i="9"/>
  <c r="M31" i="9"/>
  <c r="M23" i="9"/>
  <c r="O20" i="9"/>
  <c r="M15" i="9"/>
  <c r="O12" i="9"/>
  <c r="M7" i="9"/>
  <c r="O4" i="9"/>
  <c r="L55" i="9"/>
  <c r="N52" i="9"/>
  <c r="P49" i="9"/>
  <c r="L47" i="9"/>
  <c r="N44" i="9"/>
  <c r="P41" i="9"/>
  <c r="L39" i="9"/>
  <c r="G2" i="16" s="1"/>
  <c r="N36" i="9"/>
  <c r="L31" i="9"/>
  <c r="P25" i="9"/>
  <c r="L23" i="9"/>
  <c r="N20" i="9"/>
  <c r="P17" i="9"/>
  <c r="L15" i="9"/>
  <c r="N12" i="9"/>
  <c r="P9" i="9"/>
  <c r="L7" i="9"/>
  <c r="N4" i="9"/>
  <c r="M52" i="9"/>
  <c r="O49" i="9"/>
  <c r="M44" i="9"/>
  <c r="O41" i="9"/>
  <c r="M36" i="9"/>
  <c r="O25" i="9"/>
  <c r="M20" i="9"/>
  <c r="O17" i="9"/>
  <c r="M12" i="9"/>
  <c r="O9" i="9"/>
  <c r="M4" i="9"/>
  <c r="G32" i="12"/>
  <c r="L52" i="9"/>
  <c r="P46" i="9"/>
  <c r="N41" i="9"/>
  <c r="L36" i="9"/>
  <c r="P30" i="9"/>
  <c r="N25" i="9"/>
  <c r="L20" i="9"/>
  <c r="P14" i="9"/>
  <c r="N9" i="9"/>
  <c r="L4" i="9"/>
  <c r="G47" i="12"/>
  <c r="O2" i="9"/>
  <c r="M49" i="9"/>
  <c r="O46" i="9"/>
  <c r="M41" i="9"/>
  <c r="O30" i="9"/>
  <c r="M25" i="9"/>
  <c r="M17" i="9"/>
  <c r="O14" i="9"/>
  <c r="M9" i="9"/>
  <c r="M2" i="9"/>
  <c r="P51" i="9"/>
  <c r="L49" i="9"/>
  <c r="N46" i="9"/>
  <c r="L41" i="9"/>
  <c r="P35" i="9"/>
  <c r="N30" i="9"/>
  <c r="P27" i="9"/>
  <c r="L25" i="9"/>
  <c r="P19" i="9"/>
  <c r="L17" i="9"/>
  <c r="N14" i="9"/>
  <c r="P11" i="9"/>
  <c r="L9" i="9"/>
  <c r="Q24" i="12"/>
  <c r="P24" i="12"/>
  <c r="S24" i="12"/>
  <c r="R24" i="12"/>
  <c r="T24" i="12"/>
  <c r="N2" i="9"/>
  <c r="L2" i="9"/>
  <c r="P2" i="9"/>
  <c r="Q98" i="3"/>
  <c r="P98" i="3"/>
  <c r="Q100" i="3"/>
  <c r="P100" i="3"/>
  <c r="Q99" i="3"/>
  <c r="Q101" i="3"/>
  <c r="P101" i="3"/>
  <c r="Q103" i="3"/>
  <c r="Q102" i="3"/>
  <c r="P102" i="3"/>
  <c r="O103" i="3"/>
  <c r="O102" i="3"/>
  <c r="O101" i="3"/>
  <c r="O100" i="3"/>
  <c r="O99" i="3"/>
  <c r="O98" i="3"/>
  <c r="Q97" i="3"/>
  <c r="Q96" i="3"/>
  <c r="Q95" i="3"/>
  <c r="Q94" i="3"/>
  <c r="Q93" i="3"/>
  <c r="Q92" i="3"/>
  <c r="Q91" i="3"/>
  <c r="Q90" i="3"/>
  <c r="Q89" i="3"/>
  <c r="Q88" i="3"/>
  <c r="Q87" i="3"/>
  <c r="Q86" i="3"/>
  <c r="Q85" i="3"/>
  <c r="Q84" i="3"/>
  <c r="Q83" i="3"/>
  <c r="Q82" i="3"/>
  <c r="Q112" i="3" s="1"/>
  <c r="Q81" i="3"/>
  <c r="Q80" i="3"/>
  <c r="Q79" i="3"/>
  <c r="Q77" i="3"/>
  <c r="Q78" i="3"/>
  <c r="Q76" i="3"/>
  <c r="Q75" i="3"/>
  <c r="Q74" i="3"/>
  <c r="P97" i="3"/>
  <c r="P96" i="3"/>
  <c r="P95" i="3"/>
  <c r="P94" i="3"/>
  <c r="P93" i="3"/>
  <c r="P92" i="3"/>
  <c r="P91" i="3"/>
  <c r="P90" i="3"/>
  <c r="P113" i="3" s="1"/>
  <c r="P89" i="3"/>
  <c r="P88" i="3"/>
  <c r="P87" i="3"/>
  <c r="P86" i="3"/>
  <c r="P85" i="3"/>
  <c r="P84" i="3"/>
  <c r="P83" i="3"/>
  <c r="P82" i="3"/>
  <c r="P81" i="3"/>
  <c r="P123" i="3" s="1"/>
  <c r="P80" i="3"/>
  <c r="P122" i="3" s="1"/>
  <c r="P79" i="3"/>
  <c r="P121" i="3" s="1"/>
  <c r="P78" i="3"/>
  <c r="P120" i="3" s="1"/>
  <c r="P76" i="3"/>
  <c r="P77" i="3"/>
  <c r="P119" i="3" s="1"/>
  <c r="P75" i="3"/>
  <c r="P117" i="3" s="1"/>
  <c r="P74" i="3"/>
  <c r="O97" i="3"/>
  <c r="O96" i="3"/>
  <c r="O95" i="3"/>
  <c r="O94" i="3"/>
  <c r="O93" i="3"/>
  <c r="O92" i="3"/>
  <c r="O91" i="3"/>
  <c r="O90" i="3"/>
  <c r="O87" i="3"/>
  <c r="O88" i="3"/>
  <c r="O89" i="3"/>
  <c r="O86" i="3"/>
  <c r="O85" i="3"/>
  <c r="O84" i="3"/>
  <c r="O83" i="3"/>
  <c r="O82" i="3"/>
  <c r="O112" i="3" s="1"/>
  <c r="O81" i="3"/>
  <c r="O80" i="3"/>
  <c r="O79" i="3"/>
  <c r="O78" i="3"/>
  <c r="O77" i="3"/>
  <c r="O76" i="3"/>
  <c r="O75" i="3"/>
  <c r="O74" i="3"/>
  <c r="Q56" i="3"/>
  <c r="Q55" i="3"/>
  <c r="Q54" i="3"/>
  <c r="Q53" i="3"/>
  <c r="Q52" i="3"/>
  <c r="Q51" i="3"/>
  <c r="Q50" i="3"/>
  <c r="P52" i="3"/>
  <c r="P53" i="3"/>
  <c r="P56" i="3"/>
  <c r="P55" i="3"/>
  <c r="P54" i="3"/>
  <c r="P51" i="3"/>
  <c r="P50" i="3"/>
  <c r="O56" i="3"/>
  <c r="O55" i="3"/>
  <c r="O54" i="3"/>
  <c r="O53" i="3"/>
  <c r="O52" i="3"/>
  <c r="O51" i="3"/>
  <c r="O50" i="3"/>
  <c r="Q9" i="3"/>
  <c r="Q8" i="3"/>
  <c r="Q130" i="3" s="1"/>
  <c r="Q7" i="3"/>
  <c r="Q129" i="3" s="1"/>
  <c r="Q5" i="3"/>
  <c r="Q6" i="3"/>
  <c r="Q4" i="3"/>
  <c r="Q3" i="3"/>
  <c r="Q2" i="3"/>
  <c r="P5" i="3"/>
  <c r="P127" i="3" s="1"/>
  <c r="P4" i="3"/>
  <c r="P3" i="3"/>
  <c r="P125" i="3" s="1"/>
  <c r="P9" i="3"/>
  <c r="P8" i="3"/>
  <c r="P130" i="3" s="1"/>
  <c r="P7" i="3"/>
  <c r="P129" i="3" s="1"/>
  <c r="P6" i="3"/>
  <c r="P128" i="3" s="1"/>
  <c r="P2" i="3"/>
  <c r="O9" i="3"/>
  <c r="O8" i="3"/>
  <c r="O130" i="3" s="1"/>
  <c r="O7" i="3"/>
  <c r="O129" i="3" s="1"/>
  <c r="O6" i="3"/>
  <c r="O5" i="3"/>
  <c r="O4" i="3"/>
  <c r="O3" i="3"/>
  <c r="O2" i="3"/>
  <c r="Q23" i="3"/>
  <c r="P23" i="3"/>
  <c r="O23" i="3"/>
  <c r="Q21" i="3"/>
  <c r="P21" i="3"/>
  <c r="O21" i="3"/>
  <c r="Q19" i="3"/>
  <c r="Q108" i="3" s="1"/>
  <c r="P19" i="3"/>
  <c r="O19" i="3"/>
  <c r="O108" i="3" s="1"/>
  <c r="Q15" i="3"/>
  <c r="Q13" i="3"/>
  <c r="Q11" i="3"/>
  <c r="P15" i="3"/>
  <c r="P13" i="3"/>
  <c r="P11" i="3"/>
  <c r="P107" i="3" s="1"/>
  <c r="O15" i="3"/>
  <c r="O13" i="3"/>
  <c r="O11" i="3"/>
  <c r="AI97" i="3"/>
  <c r="AI96" i="3"/>
  <c r="AI95" i="3"/>
  <c r="AI94" i="3"/>
  <c r="AI93" i="3"/>
  <c r="AI92" i="3"/>
  <c r="AI91" i="3"/>
  <c r="AI113" i="3" s="1"/>
  <c r="AI89" i="3"/>
  <c r="AI88" i="3"/>
  <c r="AI87" i="3"/>
  <c r="AI86" i="3"/>
  <c r="AI85" i="3"/>
  <c r="AI84" i="3"/>
  <c r="AI83" i="3"/>
  <c r="AI81" i="3"/>
  <c r="AI80" i="3"/>
  <c r="AI79" i="3"/>
  <c r="AI78" i="3"/>
  <c r="AI77" i="3"/>
  <c r="AI119" i="3" s="1"/>
  <c r="AI76" i="3"/>
  <c r="AH97" i="3"/>
  <c r="AH96" i="3"/>
  <c r="AH95" i="3"/>
  <c r="AH94" i="3"/>
  <c r="AH93" i="3"/>
  <c r="AH92" i="3"/>
  <c r="AH91" i="3"/>
  <c r="AH90" i="3"/>
  <c r="AH89" i="3"/>
  <c r="AH88" i="3"/>
  <c r="AH87" i="3"/>
  <c r="AH86" i="3"/>
  <c r="AH85" i="3"/>
  <c r="AH84" i="3"/>
  <c r="AH83" i="3"/>
  <c r="AH82" i="3"/>
  <c r="AH81" i="3"/>
  <c r="AH123" i="3" s="1"/>
  <c r="AH80" i="3"/>
  <c r="AH122" i="3" s="1"/>
  <c r="AH79" i="3"/>
  <c r="AH121" i="3" s="1"/>
  <c r="AH78" i="3"/>
  <c r="AH120" i="3" s="1"/>
  <c r="AH77" i="3"/>
  <c r="AH119" i="3" s="1"/>
  <c r="AH76" i="3"/>
  <c r="AH75" i="3"/>
  <c r="AH74" i="3"/>
  <c r="AI56" i="3"/>
  <c r="AI55" i="3"/>
  <c r="AI54" i="3"/>
  <c r="AI53" i="3"/>
  <c r="AI127" i="3" s="1"/>
  <c r="AI52" i="3"/>
  <c r="AI126" i="3" s="1"/>
  <c r="AI51" i="3"/>
  <c r="AH56" i="3"/>
  <c r="AH55" i="3"/>
  <c r="AH54" i="3"/>
  <c r="AH53" i="3"/>
  <c r="AH52" i="3"/>
  <c r="AH51" i="3"/>
  <c r="AH125" i="3" s="1"/>
  <c r="AH50" i="3"/>
  <c r="AI9" i="3"/>
  <c r="AH9" i="3"/>
  <c r="AI8" i="3"/>
  <c r="AI130" i="3" s="1"/>
  <c r="AH8" i="3"/>
  <c r="AI7" i="3"/>
  <c r="AI129" i="3" s="1"/>
  <c r="AH7" i="3"/>
  <c r="AI6" i="3"/>
  <c r="AH6" i="3"/>
  <c r="AH5" i="3"/>
  <c r="AH4" i="3"/>
  <c r="AI105" i="3"/>
  <c r="AH105" i="3"/>
  <c r="AI104" i="3"/>
  <c r="AH104" i="3"/>
  <c r="AI103" i="3"/>
  <c r="AH103" i="3"/>
  <c r="AI102" i="3"/>
  <c r="AH102" i="3"/>
  <c r="AH101" i="3"/>
  <c r="AI100" i="3"/>
  <c r="AH100" i="3"/>
  <c r="AI99" i="3"/>
  <c r="AH99" i="3"/>
  <c r="AI98" i="3"/>
  <c r="AH98" i="3"/>
  <c r="AI55" i="1"/>
  <c r="AI54" i="1"/>
  <c r="AI53" i="1"/>
  <c r="AI52" i="1"/>
  <c r="AI51" i="1"/>
  <c r="AI56" i="1"/>
  <c r="AI57" i="1"/>
  <c r="AH57" i="1"/>
  <c r="AH56" i="1"/>
  <c r="AH55" i="1"/>
  <c r="AH54" i="1"/>
  <c r="AH53" i="1"/>
  <c r="AH52" i="1"/>
  <c r="AH51" i="1"/>
  <c r="AH50" i="1"/>
  <c r="AI9" i="1"/>
  <c r="AI8" i="1"/>
  <c r="AI7" i="1"/>
  <c r="AI6" i="1"/>
  <c r="AH9" i="1"/>
  <c r="AH8" i="1"/>
  <c r="AH7" i="1"/>
  <c r="AH6" i="1"/>
  <c r="AH4" i="1"/>
  <c r="AH5" i="1"/>
  <c r="AI97" i="1"/>
  <c r="AI96" i="1"/>
  <c r="AI95" i="1"/>
  <c r="AI94" i="1"/>
  <c r="AI93" i="1"/>
  <c r="AI92" i="1"/>
  <c r="AI91" i="1"/>
  <c r="AI89" i="1"/>
  <c r="AI88" i="1"/>
  <c r="AI87" i="1"/>
  <c r="AI86" i="1"/>
  <c r="AI85" i="1"/>
  <c r="AI84" i="1"/>
  <c r="AI83" i="1"/>
  <c r="AI81" i="1"/>
  <c r="AI80" i="1"/>
  <c r="AI79" i="1"/>
  <c r="AI78" i="1"/>
  <c r="AI77" i="1"/>
  <c r="AI76" i="1"/>
  <c r="AI75" i="1"/>
  <c r="AH97" i="1"/>
  <c r="AH96" i="1"/>
  <c r="AH95" i="1"/>
  <c r="AH94" i="1"/>
  <c r="AH93" i="1"/>
  <c r="AH92" i="1"/>
  <c r="AH91" i="1"/>
  <c r="AH90" i="1"/>
  <c r="AH77" i="1"/>
  <c r="AH89" i="1"/>
  <c r="AH88" i="1"/>
  <c r="AH87" i="1"/>
  <c r="AH86" i="1"/>
  <c r="AH85" i="1"/>
  <c r="AH84" i="1"/>
  <c r="AH83" i="1"/>
  <c r="AH82" i="1"/>
  <c r="AH81" i="1"/>
  <c r="AH80" i="1"/>
  <c r="AH79" i="1"/>
  <c r="AH78" i="1"/>
  <c r="AH76" i="1"/>
  <c r="AH75" i="1"/>
  <c r="AH74" i="1"/>
  <c r="O2" i="1"/>
  <c r="E2" i="5"/>
  <c r="E3" i="5"/>
  <c r="E8" i="5"/>
  <c r="E9" i="5"/>
  <c r="Q105" i="1"/>
  <c r="P105" i="1"/>
  <c r="O105" i="1"/>
  <c r="Q106" i="1"/>
  <c r="P106" i="1"/>
  <c r="O106" i="1"/>
  <c r="N106" i="1" s="1"/>
  <c r="Q98" i="1"/>
  <c r="N98" i="1" s="1"/>
  <c r="P98" i="1"/>
  <c r="O98" i="1"/>
  <c r="P104" i="1"/>
  <c r="O104" i="1"/>
  <c r="Q103" i="1"/>
  <c r="P103" i="1"/>
  <c r="O103" i="1"/>
  <c r="Q102" i="1"/>
  <c r="P102" i="1"/>
  <c r="O102" i="1"/>
  <c r="Q23" i="1"/>
  <c r="P23" i="1"/>
  <c r="O23" i="1"/>
  <c r="Q21" i="1"/>
  <c r="P21" i="1"/>
  <c r="O21" i="1"/>
  <c r="Q19" i="1"/>
  <c r="P19" i="1"/>
  <c r="O19" i="1"/>
  <c r="Q15" i="1"/>
  <c r="Q13" i="1"/>
  <c r="Q11" i="1"/>
  <c r="P15" i="1"/>
  <c r="P13" i="1"/>
  <c r="P11" i="1"/>
  <c r="O13" i="1"/>
  <c r="O15" i="1"/>
  <c r="O11" i="1"/>
  <c r="Q57" i="1"/>
  <c r="N57" i="1" s="1"/>
  <c r="Q56" i="1"/>
  <c r="Q55" i="1"/>
  <c r="Q54" i="1"/>
  <c r="Q53" i="1"/>
  <c r="Q52" i="1"/>
  <c r="Q51" i="1"/>
  <c r="Q50" i="1"/>
  <c r="P57" i="1"/>
  <c r="P56" i="1"/>
  <c r="P55" i="1"/>
  <c r="P54" i="1"/>
  <c r="P53" i="1"/>
  <c r="P52" i="1"/>
  <c r="P51" i="1"/>
  <c r="P50" i="1"/>
  <c r="O53" i="1"/>
  <c r="L53" i="1" s="1"/>
  <c r="O54" i="1"/>
  <c r="O55" i="1"/>
  <c r="O56" i="1"/>
  <c r="J56" i="1" s="1"/>
  <c r="O57" i="1"/>
  <c r="O52" i="1"/>
  <c r="O51" i="1"/>
  <c r="O50" i="1"/>
  <c r="Q9" i="1"/>
  <c r="Q8" i="1"/>
  <c r="Q7" i="1"/>
  <c r="Q6" i="1"/>
  <c r="Q5" i="1"/>
  <c r="Q4" i="1"/>
  <c r="J4" i="1"/>
  <c r="Q3" i="1"/>
  <c r="Q2" i="1"/>
  <c r="P9" i="1"/>
  <c r="P8" i="1"/>
  <c r="P7" i="1"/>
  <c r="P6" i="1"/>
  <c r="P5" i="1"/>
  <c r="P4" i="1"/>
  <c r="P2" i="1"/>
  <c r="P3" i="1"/>
  <c r="N3" i="1" s="1"/>
  <c r="O9" i="1"/>
  <c r="O8" i="1"/>
  <c r="O7" i="1"/>
  <c r="O6" i="1"/>
  <c r="J6" i="1" s="1"/>
  <c r="O5" i="1"/>
  <c r="O4" i="1"/>
  <c r="O3" i="1"/>
  <c r="Q97" i="1"/>
  <c r="Q96" i="1"/>
  <c r="Q95" i="1"/>
  <c r="Q94" i="1"/>
  <c r="Q93" i="1"/>
  <c r="Q92" i="1"/>
  <c r="Q91" i="1"/>
  <c r="Q90" i="1"/>
  <c r="P97" i="1"/>
  <c r="N97" i="1" s="1"/>
  <c r="P96" i="1"/>
  <c r="N96" i="1" s="1"/>
  <c r="P95" i="1"/>
  <c r="P94" i="1"/>
  <c r="J94" i="1" s="1"/>
  <c r="P93" i="1"/>
  <c r="P92" i="1"/>
  <c r="P91" i="1"/>
  <c r="P90" i="1"/>
  <c r="O97" i="1"/>
  <c r="O96" i="1"/>
  <c r="O89" i="1"/>
  <c r="O88" i="1"/>
  <c r="O93" i="1"/>
  <c r="O92" i="1"/>
  <c r="O91" i="1"/>
  <c r="O90" i="1"/>
  <c r="N90" i="1" s="1"/>
  <c r="O95" i="1"/>
  <c r="N95" i="1" s="1"/>
  <c r="O94" i="1"/>
  <c r="N93" i="1"/>
  <c r="Q89" i="1"/>
  <c r="Q88" i="1"/>
  <c r="Q87" i="1"/>
  <c r="Q86" i="1"/>
  <c r="Q85" i="1"/>
  <c r="Q84" i="1"/>
  <c r="Q83" i="1"/>
  <c r="Q82" i="1"/>
  <c r="P89" i="1"/>
  <c r="L89" i="1" s="1"/>
  <c r="P88" i="1"/>
  <c r="P87" i="1"/>
  <c r="N87" i="1" s="1"/>
  <c r="P86" i="1"/>
  <c r="P85" i="1"/>
  <c r="P84" i="1"/>
  <c r="P83" i="1"/>
  <c r="P82" i="1"/>
  <c r="O87" i="1"/>
  <c r="O85" i="1"/>
  <c r="O86" i="1"/>
  <c r="O84" i="1"/>
  <c r="O83" i="1"/>
  <c r="O82" i="1"/>
  <c r="N85" i="1"/>
  <c r="J84" i="1"/>
  <c r="L83" i="1"/>
  <c r="N82" i="1"/>
  <c r="Q81" i="1"/>
  <c r="P81" i="1"/>
  <c r="O81" i="1"/>
  <c r="N81" i="1" s="1"/>
  <c r="Q80" i="1"/>
  <c r="Q79" i="1"/>
  <c r="Q78" i="1"/>
  <c r="Q77" i="1"/>
  <c r="Q76" i="1"/>
  <c r="Q75" i="1"/>
  <c r="Q74" i="1"/>
  <c r="P80" i="1"/>
  <c r="P79" i="1"/>
  <c r="P78" i="1"/>
  <c r="N78" i="1" s="1"/>
  <c r="P77" i="1"/>
  <c r="P76" i="1"/>
  <c r="P75" i="1"/>
  <c r="O80" i="1"/>
  <c r="N80" i="1" s="1"/>
  <c r="O79" i="1"/>
  <c r="O78" i="1"/>
  <c r="O76" i="1"/>
  <c r="O75" i="1"/>
  <c r="O77" i="1"/>
  <c r="N76" i="1"/>
  <c r="O74" i="1"/>
  <c r="N74" i="1"/>
  <c r="P74" i="1"/>
  <c r="L97" i="1"/>
  <c r="L94" i="1"/>
  <c r="L92" i="1"/>
  <c r="N91" i="1"/>
  <c r="N88" i="1"/>
  <c r="L85" i="1"/>
  <c r="N84" i="1"/>
  <c r="N105" i="1"/>
  <c r="L105" i="1"/>
  <c r="J105" i="1"/>
  <c r="N104" i="1"/>
  <c r="L104" i="1"/>
  <c r="J104" i="1"/>
  <c r="N103" i="1"/>
  <c r="L103" i="1"/>
  <c r="J103" i="1"/>
  <c r="N102" i="1"/>
  <c r="L102" i="1"/>
  <c r="J102" i="1"/>
  <c r="J75" i="1"/>
  <c r="N50" i="1"/>
  <c r="J50" i="1"/>
  <c r="N22" i="1"/>
  <c r="L22" i="1"/>
  <c r="J21" i="1"/>
  <c r="N19" i="1"/>
  <c r="L19" i="1"/>
  <c r="J19" i="1"/>
  <c r="N15" i="1"/>
  <c r="L15" i="1"/>
  <c r="J15" i="1"/>
  <c r="J13" i="1"/>
  <c r="N8" i="1"/>
  <c r="L8" i="1"/>
  <c r="J8" i="1"/>
  <c r="AI98" i="1"/>
  <c r="AI106" i="1"/>
  <c r="AH106" i="1"/>
  <c r="AI105" i="1"/>
  <c r="AH105" i="1"/>
  <c r="AH104" i="1"/>
  <c r="AI103" i="1"/>
  <c r="AH103" i="1"/>
  <c r="AI102" i="1"/>
  <c r="AH102" i="1"/>
  <c r="AH98" i="1"/>
  <c r="AD115" i="1" l="1"/>
  <c r="J32" i="1"/>
  <c r="I111" i="1"/>
  <c r="I110" i="1"/>
  <c r="K110" i="1"/>
  <c r="AC115" i="1"/>
  <c r="AA110" i="1"/>
  <c r="AC110" i="1"/>
  <c r="AD110" i="1"/>
  <c r="AA111" i="1"/>
  <c r="M111" i="1"/>
  <c r="AB110" i="1"/>
  <c r="AF111" i="1"/>
  <c r="AF110" i="1"/>
  <c r="K115" i="1"/>
  <c r="AB111" i="1"/>
  <c r="AF115" i="1"/>
  <c r="M115" i="1"/>
  <c r="AC111" i="1"/>
  <c r="AD111" i="1"/>
  <c r="M110" i="1"/>
  <c r="N128" i="1"/>
  <c r="N122" i="1"/>
  <c r="J136" i="1"/>
  <c r="I115" i="1"/>
  <c r="AE115" i="1"/>
  <c r="AE110" i="1"/>
  <c r="K111" i="1"/>
  <c r="AA115" i="1"/>
  <c r="I12" i="28"/>
  <c r="H113" i="1"/>
  <c r="I11" i="28"/>
  <c r="I10" i="28"/>
  <c r="H107" i="3"/>
  <c r="H14" i="3"/>
  <c r="H62" i="3"/>
  <c r="H63" i="1"/>
  <c r="H15" i="1"/>
  <c r="Y15" i="1" s="1"/>
  <c r="H15" i="3"/>
  <c r="Z15" i="3" s="1"/>
  <c r="H63" i="3"/>
  <c r="H14" i="1"/>
  <c r="H16" i="3"/>
  <c r="H64" i="3"/>
  <c r="H64" i="1"/>
  <c r="H62" i="1"/>
  <c r="H61" i="1"/>
  <c r="H13" i="1"/>
  <c r="X13" i="1" s="1"/>
  <c r="H17" i="3"/>
  <c r="H65" i="3"/>
  <c r="H16" i="1"/>
  <c r="H60" i="1"/>
  <c r="H12" i="1"/>
  <c r="H34" i="3"/>
  <c r="H11" i="1"/>
  <c r="X11" i="1" s="1"/>
  <c r="H35" i="3"/>
  <c r="H58" i="1"/>
  <c r="H10" i="1"/>
  <c r="H36" i="3"/>
  <c r="H41" i="1"/>
  <c r="H37" i="3"/>
  <c r="H40" i="1"/>
  <c r="H38" i="3"/>
  <c r="H38" i="1"/>
  <c r="H40" i="3"/>
  <c r="H41" i="3"/>
  <c r="H39" i="3"/>
  <c r="H37" i="1"/>
  <c r="H36" i="1"/>
  <c r="H10" i="3"/>
  <c r="H58" i="3"/>
  <c r="H115" i="3"/>
  <c r="H34" i="1"/>
  <c r="H12" i="3"/>
  <c r="H60" i="3"/>
  <c r="H59" i="3"/>
  <c r="H65" i="1"/>
  <c r="H17" i="1"/>
  <c r="H13" i="3"/>
  <c r="Z13" i="3" s="1"/>
  <c r="H61" i="3"/>
  <c r="P116" i="3"/>
  <c r="P111" i="3"/>
  <c r="Q110" i="3"/>
  <c r="P108" i="3"/>
  <c r="P124" i="3"/>
  <c r="P106" i="3"/>
  <c r="O110" i="3"/>
  <c r="P118" i="3"/>
  <c r="AH112" i="3"/>
  <c r="AI118" i="3"/>
  <c r="AI111" i="3"/>
  <c r="AH126" i="3"/>
  <c r="AH106" i="3"/>
  <c r="AH127" i="3"/>
  <c r="AI125" i="3"/>
  <c r="AI110" i="3"/>
  <c r="AI109" i="3" s="1"/>
  <c r="AI120" i="3"/>
  <c r="AH128" i="3"/>
  <c r="AI121" i="3"/>
  <c r="O116" i="3"/>
  <c r="O111" i="3"/>
  <c r="O113" i="3"/>
  <c r="P112" i="3"/>
  <c r="Q116" i="3"/>
  <c r="Q111" i="3"/>
  <c r="Q113" i="3"/>
  <c r="AI128" i="3"/>
  <c r="AI106" i="3"/>
  <c r="AI122" i="3"/>
  <c r="O107" i="3"/>
  <c r="P126" i="3"/>
  <c r="O117" i="3"/>
  <c r="Q117" i="3"/>
  <c r="AH129" i="3"/>
  <c r="AI123" i="3"/>
  <c r="P110" i="3"/>
  <c r="P109" i="3" s="1"/>
  <c r="O118" i="3"/>
  <c r="Q118" i="3"/>
  <c r="AI117" i="3"/>
  <c r="AI112" i="3"/>
  <c r="O124" i="3"/>
  <c r="O106" i="3"/>
  <c r="Q124" i="3"/>
  <c r="Q106" i="3"/>
  <c r="O119" i="3"/>
  <c r="Q120" i="3"/>
  <c r="AH130" i="3"/>
  <c r="O125" i="3"/>
  <c r="Q125" i="3"/>
  <c r="O120" i="3"/>
  <c r="Q119" i="3"/>
  <c r="AH124" i="3"/>
  <c r="AH110" i="3"/>
  <c r="AH109" i="3" s="1"/>
  <c r="AH116" i="3"/>
  <c r="AH111" i="3"/>
  <c r="AH113" i="3"/>
  <c r="O126" i="3"/>
  <c r="Q126" i="3"/>
  <c r="O121" i="3"/>
  <c r="Q121" i="3"/>
  <c r="AH117" i="3"/>
  <c r="O127" i="3"/>
  <c r="Q128" i="3"/>
  <c r="O122" i="3"/>
  <c r="Q122" i="3"/>
  <c r="AH118" i="3"/>
  <c r="Q107" i="3"/>
  <c r="O128" i="3"/>
  <c r="Q127" i="3"/>
  <c r="O123" i="3"/>
  <c r="Q123" i="3"/>
  <c r="K48" i="9"/>
  <c r="M43" i="9"/>
  <c r="O48" i="9"/>
  <c r="P43" i="9"/>
  <c r="O43" i="9"/>
  <c r="N43" i="9"/>
  <c r="K43" i="9"/>
  <c r="M48" i="9"/>
  <c r="L48" i="9"/>
  <c r="P48" i="9"/>
  <c r="AF55" i="3"/>
  <c r="AC55" i="3"/>
  <c r="AE55" i="3"/>
  <c r="AA55" i="3"/>
  <c r="AB55" i="3"/>
  <c r="AD55" i="3"/>
  <c r="AD82" i="3"/>
  <c r="AE82" i="3"/>
  <c r="AF82" i="3"/>
  <c r="AA82" i="3"/>
  <c r="AA112" i="3" s="1"/>
  <c r="AC82" i="3"/>
  <c r="AB82" i="3"/>
  <c r="AB112" i="3" s="1"/>
  <c r="I21" i="3"/>
  <c r="J21" i="3"/>
  <c r="K21" i="3"/>
  <c r="L21" i="3"/>
  <c r="M21" i="3"/>
  <c r="N21" i="3"/>
  <c r="I52" i="3"/>
  <c r="J52" i="3"/>
  <c r="K52" i="3"/>
  <c r="L52" i="3"/>
  <c r="M52" i="3"/>
  <c r="N52" i="3"/>
  <c r="L86" i="3"/>
  <c r="M86" i="3"/>
  <c r="K86" i="3"/>
  <c r="N86" i="3"/>
  <c r="I86" i="3"/>
  <c r="J86" i="3"/>
  <c r="L102" i="3"/>
  <c r="M102" i="3"/>
  <c r="N102" i="3"/>
  <c r="I102" i="3"/>
  <c r="K102" i="3"/>
  <c r="J102" i="3"/>
  <c r="AE4" i="3"/>
  <c r="AA4" i="3"/>
  <c r="AB4" i="3"/>
  <c r="AC4" i="3"/>
  <c r="AD4" i="3"/>
  <c r="AF4" i="3"/>
  <c r="AA56" i="3"/>
  <c r="AB56" i="3"/>
  <c r="AC56" i="3"/>
  <c r="AD56" i="3"/>
  <c r="AE56" i="3"/>
  <c r="AF56" i="3"/>
  <c r="AA83" i="3"/>
  <c r="AB83" i="3"/>
  <c r="AC83" i="3"/>
  <c r="AD83" i="3"/>
  <c r="AE83" i="3"/>
  <c r="AF83" i="3"/>
  <c r="I53" i="3"/>
  <c r="J53" i="3"/>
  <c r="K53" i="3"/>
  <c r="L53" i="3"/>
  <c r="M53" i="3"/>
  <c r="N53" i="3"/>
  <c r="J89" i="3"/>
  <c r="K89" i="3"/>
  <c r="L89" i="3"/>
  <c r="M89" i="3"/>
  <c r="N89" i="3"/>
  <c r="I89" i="3"/>
  <c r="I103" i="3"/>
  <c r="J103" i="3"/>
  <c r="K103" i="3"/>
  <c r="L103" i="3"/>
  <c r="M103" i="3"/>
  <c r="N103" i="3"/>
  <c r="AD98" i="3"/>
  <c r="AE98" i="3"/>
  <c r="AF98" i="3"/>
  <c r="AA98" i="3"/>
  <c r="AC98" i="3"/>
  <c r="AB98" i="3"/>
  <c r="AB5" i="3"/>
  <c r="AC5" i="3"/>
  <c r="AD5" i="3"/>
  <c r="AE5" i="3"/>
  <c r="AF5" i="3"/>
  <c r="AF127" i="3" s="1"/>
  <c r="AA5" i="3"/>
  <c r="AE84" i="3"/>
  <c r="AA84" i="3"/>
  <c r="AB84" i="3"/>
  <c r="AC84" i="3"/>
  <c r="AD84" i="3"/>
  <c r="AF84" i="3"/>
  <c r="L54" i="3"/>
  <c r="M54" i="3"/>
  <c r="N54" i="3"/>
  <c r="K54" i="3"/>
  <c r="J54" i="3"/>
  <c r="I54" i="3"/>
  <c r="M88" i="3"/>
  <c r="I88" i="3"/>
  <c r="J88" i="3"/>
  <c r="K88" i="3"/>
  <c r="L88" i="3"/>
  <c r="N88" i="3"/>
  <c r="I101" i="3"/>
  <c r="J101" i="3"/>
  <c r="K101" i="3"/>
  <c r="L101" i="3"/>
  <c r="M101" i="3"/>
  <c r="N101" i="3"/>
  <c r="AA6" i="3"/>
  <c r="AB6" i="3"/>
  <c r="AC6" i="3"/>
  <c r="AC128" i="3" s="1"/>
  <c r="AD6" i="3"/>
  <c r="AE6" i="3"/>
  <c r="AF6" i="3"/>
  <c r="AB85" i="3"/>
  <c r="AC85" i="3"/>
  <c r="AD85" i="3"/>
  <c r="AE85" i="3"/>
  <c r="AF85" i="3"/>
  <c r="AA85" i="3"/>
  <c r="I23" i="3"/>
  <c r="J23" i="3"/>
  <c r="K23" i="3"/>
  <c r="L23" i="3"/>
  <c r="M23" i="3"/>
  <c r="N23" i="3"/>
  <c r="I55" i="3"/>
  <c r="J55" i="3"/>
  <c r="K55" i="3"/>
  <c r="L55" i="3"/>
  <c r="M55" i="3"/>
  <c r="N55" i="3"/>
  <c r="I87" i="3"/>
  <c r="J87" i="3"/>
  <c r="K87" i="3"/>
  <c r="L87" i="3"/>
  <c r="M87" i="3"/>
  <c r="N87" i="3"/>
  <c r="AA99" i="3"/>
  <c r="AB99" i="3"/>
  <c r="AC99" i="3"/>
  <c r="AD99" i="3"/>
  <c r="AE99" i="3"/>
  <c r="AF99" i="3"/>
  <c r="AA86" i="3"/>
  <c r="AB86" i="3"/>
  <c r="AC86" i="3"/>
  <c r="AD86" i="3"/>
  <c r="AE86" i="3"/>
  <c r="AF86" i="3"/>
  <c r="N11" i="3"/>
  <c r="M11" i="3"/>
  <c r="I11" i="3"/>
  <c r="J11" i="3"/>
  <c r="K11" i="3"/>
  <c r="L11" i="3"/>
  <c r="M56" i="3"/>
  <c r="N56" i="3"/>
  <c r="I56" i="3"/>
  <c r="J56" i="3"/>
  <c r="K56" i="3"/>
  <c r="L56" i="3"/>
  <c r="I74" i="3"/>
  <c r="J74" i="3"/>
  <c r="K74" i="3"/>
  <c r="L74" i="3"/>
  <c r="M74" i="3"/>
  <c r="N74" i="3"/>
  <c r="I90" i="3"/>
  <c r="J90" i="3"/>
  <c r="K90" i="3"/>
  <c r="L90" i="3"/>
  <c r="M90" i="3"/>
  <c r="N90" i="3"/>
  <c r="AF7" i="3"/>
  <c r="AF129" i="3" s="1"/>
  <c r="AC7" i="3"/>
  <c r="AC129" i="3" s="1"/>
  <c r="AA7" i="3"/>
  <c r="AA129" i="3" s="1"/>
  <c r="AE7" i="3"/>
  <c r="AE129" i="3" s="1"/>
  <c r="AB7" i="3"/>
  <c r="AB129" i="3" s="1"/>
  <c r="AD7" i="3"/>
  <c r="AD129" i="3" s="1"/>
  <c r="AF87" i="3"/>
  <c r="AC87" i="3"/>
  <c r="AE87" i="3"/>
  <c r="AA87" i="3"/>
  <c r="AB87" i="3"/>
  <c r="AD87" i="3"/>
  <c r="I13" i="3"/>
  <c r="J13" i="3"/>
  <c r="K13" i="3"/>
  <c r="L13" i="3"/>
  <c r="M13" i="3"/>
  <c r="N13" i="3"/>
  <c r="N91" i="3"/>
  <c r="K91" i="3"/>
  <c r="M91" i="3"/>
  <c r="I91" i="3"/>
  <c r="J91" i="3"/>
  <c r="L91" i="3"/>
  <c r="N2" i="3"/>
  <c r="M2" i="3"/>
  <c r="L2" i="3"/>
  <c r="K2" i="3"/>
  <c r="J2" i="3"/>
  <c r="I2" i="3"/>
  <c r="I92" i="3"/>
  <c r="J92" i="3"/>
  <c r="K92" i="3"/>
  <c r="L92" i="3"/>
  <c r="M92" i="3"/>
  <c r="N92" i="3"/>
  <c r="AA8" i="3"/>
  <c r="AB8" i="3"/>
  <c r="AB130" i="3" s="1"/>
  <c r="AC8" i="3"/>
  <c r="AC130" i="3" s="1"/>
  <c r="AD8" i="3"/>
  <c r="AD130" i="3" s="1"/>
  <c r="AE8" i="3"/>
  <c r="AE130" i="3" s="1"/>
  <c r="AF8" i="3"/>
  <c r="AF130" i="3" s="1"/>
  <c r="AA89" i="3"/>
  <c r="AB89" i="3"/>
  <c r="AC89" i="3"/>
  <c r="AD89" i="3"/>
  <c r="AE89" i="3"/>
  <c r="AF89" i="3"/>
  <c r="N3" i="3"/>
  <c r="N125" i="3" s="1"/>
  <c r="K3" i="3"/>
  <c r="M3" i="3"/>
  <c r="I3" i="3"/>
  <c r="I125" i="3" s="1"/>
  <c r="J3" i="3"/>
  <c r="L3" i="3"/>
  <c r="I77" i="3"/>
  <c r="J77" i="3"/>
  <c r="K77" i="3"/>
  <c r="K119" i="3" s="1"/>
  <c r="L77" i="3"/>
  <c r="M77" i="3"/>
  <c r="N77" i="3"/>
  <c r="I93" i="3"/>
  <c r="J93" i="3"/>
  <c r="K93" i="3"/>
  <c r="L93" i="3"/>
  <c r="M93" i="3"/>
  <c r="N93" i="3"/>
  <c r="AA97" i="3"/>
  <c r="AB97" i="3"/>
  <c r="AC97" i="3"/>
  <c r="AD97" i="3"/>
  <c r="AE97" i="3"/>
  <c r="AF97" i="3"/>
  <c r="I85" i="3"/>
  <c r="J85" i="3"/>
  <c r="K85" i="3"/>
  <c r="L85" i="3"/>
  <c r="M85" i="3"/>
  <c r="N85" i="3"/>
  <c r="AA100" i="3"/>
  <c r="AE100" i="3"/>
  <c r="AB100" i="3"/>
  <c r="AC100" i="3"/>
  <c r="AD100" i="3"/>
  <c r="AF100" i="3"/>
  <c r="AA88" i="3"/>
  <c r="AB88" i="3"/>
  <c r="AC88" i="3"/>
  <c r="AD88" i="3"/>
  <c r="AE88" i="3"/>
  <c r="AF88" i="3"/>
  <c r="I76" i="3"/>
  <c r="J76" i="3"/>
  <c r="J118" i="3" s="1"/>
  <c r="K76" i="3"/>
  <c r="K118" i="3" s="1"/>
  <c r="L76" i="3"/>
  <c r="L118" i="3" s="1"/>
  <c r="M76" i="3"/>
  <c r="N76" i="3"/>
  <c r="AB101" i="3"/>
  <c r="AC101" i="3"/>
  <c r="AD101" i="3"/>
  <c r="AE101" i="3"/>
  <c r="AF101" i="3"/>
  <c r="AA101" i="3"/>
  <c r="AD74" i="3"/>
  <c r="AC74" i="3"/>
  <c r="AE74" i="3"/>
  <c r="AF74" i="3"/>
  <c r="AA74" i="3"/>
  <c r="AB74" i="3"/>
  <c r="AD90" i="3"/>
  <c r="AD113" i="3" s="1"/>
  <c r="AE90" i="3"/>
  <c r="AF90" i="3"/>
  <c r="AC90" i="3"/>
  <c r="AA90" i="3"/>
  <c r="AB90" i="3"/>
  <c r="I4" i="3"/>
  <c r="I126" i="3" s="1"/>
  <c r="J4" i="3"/>
  <c r="J126" i="3" s="1"/>
  <c r="K4" i="3"/>
  <c r="K126" i="3" s="1"/>
  <c r="L4" i="3"/>
  <c r="L126" i="3" s="1"/>
  <c r="M4" i="3"/>
  <c r="M126" i="3" s="1"/>
  <c r="N4" i="3"/>
  <c r="N126" i="3" s="1"/>
  <c r="L78" i="3"/>
  <c r="L120" i="3" s="1"/>
  <c r="M78" i="3"/>
  <c r="N78" i="3"/>
  <c r="J78" i="3"/>
  <c r="J120" i="3" s="1"/>
  <c r="I78" i="3"/>
  <c r="I120" i="3" s="1"/>
  <c r="K78" i="3"/>
  <c r="L94" i="3"/>
  <c r="M94" i="3"/>
  <c r="N94" i="3"/>
  <c r="K94" i="3"/>
  <c r="I94" i="3"/>
  <c r="J94" i="3"/>
  <c r="AA81" i="3"/>
  <c r="AA123" i="3" s="1"/>
  <c r="AB81" i="3"/>
  <c r="AB123" i="3" s="1"/>
  <c r="AC81" i="3"/>
  <c r="AD81" i="3"/>
  <c r="AD123" i="3" s="1"/>
  <c r="AE81" i="3"/>
  <c r="AF81" i="3"/>
  <c r="N51" i="3"/>
  <c r="M51" i="3"/>
  <c r="L51" i="3"/>
  <c r="I51" i="3"/>
  <c r="J51" i="3"/>
  <c r="K51" i="3"/>
  <c r="AA102" i="3"/>
  <c r="AB102" i="3"/>
  <c r="AC102" i="3"/>
  <c r="AD102" i="3"/>
  <c r="AE102" i="3"/>
  <c r="AF102" i="3"/>
  <c r="AA9" i="3"/>
  <c r="AB9" i="3"/>
  <c r="AC9" i="3"/>
  <c r="AD9" i="3"/>
  <c r="AE9" i="3"/>
  <c r="AF9" i="3"/>
  <c r="AA75" i="3"/>
  <c r="AB75" i="3"/>
  <c r="AC75" i="3"/>
  <c r="AD75" i="3"/>
  <c r="AE75" i="3"/>
  <c r="AF75" i="3"/>
  <c r="AA91" i="3"/>
  <c r="AB91" i="3"/>
  <c r="AC91" i="3"/>
  <c r="AD91" i="3"/>
  <c r="AE91" i="3"/>
  <c r="AF91" i="3"/>
  <c r="I5" i="3"/>
  <c r="I127" i="3" s="1"/>
  <c r="J5" i="3"/>
  <c r="J127" i="3" s="1"/>
  <c r="K5" i="3"/>
  <c r="K127" i="3" s="1"/>
  <c r="L5" i="3"/>
  <c r="M5" i="3"/>
  <c r="N5" i="3"/>
  <c r="N127" i="3" s="1"/>
  <c r="I79" i="3"/>
  <c r="J79" i="3"/>
  <c r="K79" i="3"/>
  <c r="L79" i="3"/>
  <c r="M79" i="3"/>
  <c r="N79" i="3"/>
  <c r="N121" i="3" s="1"/>
  <c r="I95" i="3"/>
  <c r="J95" i="3"/>
  <c r="K95" i="3"/>
  <c r="L95" i="3"/>
  <c r="M95" i="3"/>
  <c r="N95" i="3"/>
  <c r="AA54" i="3"/>
  <c r="AB54" i="3"/>
  <c r="AC54" i="3"/>
  <c r="AD54" i="3"/>
  <c r="AE54" i="3"/>
  <c r="AF54" i="3"/>
  <c r="AE76" i="3"/>
  <c r="AA76" i="3"/>
  <c r="AA118" i="3" s="1"/>
  <c r="AB76" i="3"/>
  <c r="AB118" i="3" s="1"/>
  <c r="AC76" i="3"/>
  <c r="AD76" i="3"/>
  <c r="AD118" i="3" s="1"/>
  <c r="AF76" i="3"/>
  <c r="AE92" i="3"/>
  <c r="AA92" i="3"/>
  <c r="AB92" i="3"/>
  <c r="AC92" i="3"/>
  <c r="AD92" i="3"/>
  <c r="AF92" i="3"/>
  <c r="L6" i="3"/>
  <c r="L128" i="3" s="1"/>
  <c r="M6" i="3"/>
  <c r="M128" i="3" s="1"/>
  <c r="K6" i="3"/>
  <c r="K128" i="3" s="1"/>
  <c r="N6" i="3"/>
  <c r="N128" i="3" s="1"/>
  <c r="I6" i="3"/>
  <c r="I128" i="3" s="1"/>
  <c r="J6" i="3"/>
  <c r="J128" i="3" s="1"/>
  <c r="I80" i="3"/>
  <c r="I122" i="3" s="1"/>
  <c r="J80" i="3"/>
  <c r="J122" i="3" s="1"/>
  <c r="K80" i="3"/>
  <c r="K122" i="3" s="1"/>
  <c r="M80" i="3"/>
  <c r="M122" i="3" s="1"/>
  <c r="L80" i="3"/>
  <c r="L122" i="3" s="1"/>
  <c r="N80" i="3"/>
  <c r="M96" i="3"/>
  <c r="I96" i="3"/>
  <c r="J96" i="3"/>
  <c r="K96" i="3"/>
  <c r="L96" i="3"/>
  <c r="N96" i="3"/>
  <c r="N75" i="3"/>
  <c r="M75" i="3"/>
  <c r="M117" i="3" s="1"/>
  <c r="K75" i="3"/>
  <c r="I75" i="3"/>
  <c r="L75" i="3"/>
  <c r="J75" i="3"/>
  <c r="I15" i="3"/>
  <c r="J15" i="3"/>
  <c r="K15" i="3"/>
  <c r="L15" i="3"/>
  <c r="M15" i="3"/>
  <c r="N15" i="3"/>
  <c r="AF103" i="3"/>
  <c r="AE103" i="3"/>
  <c r="AA103" i="3"/>
  <c r="AC103" i="3"/>
  <c r="AB103" i="3"/>
  <c r="AD103" i="3"/>
  <c r="AD50" i="3"/>
  <c r="AE50" i="3"/>
  <c r="AC50" i="3"/>
  <c r="AF50" i="3"/>
  <c r="AA50" i="3"/>
  <c r="AB50" i="3"/>
  <c r="AB77" i="3"/>
  <c r="AC77" i="3"/>
  <c r="AA77" i="3"/>
  <c r="AD77" i="3"/>
  <c r="AE77" i="3"/>
  <c r="AF77" i="3"/>
  <c r="AB93" i="3"/>
  <c r="AC93" i="3"/>
  <c r="AD93" i="3"/>
  <c r="AE93" i="3"/>
  <c r="AF93" i="3"/>
  <c r="AA93" i="3"/>
  <c r="I7" i="3"/>
  <c r="I129" i="3" s="1"/>
  <c r="J7" i="3"/>
  <c r="J129" i="3" s="1"/>
  <c r="K7" i="3"/>
  <c r="K129" i="3" s="1"/>
  <c r="L7" i="3"/>
  <c r="L129" i="3" s="1"/>
  <c r="M7" i="3"/>
  <c r="N7" i="3"/>
  <c r="J81" i="3"/>
  <c r="K81" i="3"/>
  <c r="L81" i="3"/>
  <c r="I81" i="3"/>
  <c r="M81" i="3"/>
  <c r="N81" i="3"/>
  <c r="J97" i="3"/>
  <c r="I97" i="3"/>
  <c r="K97" i="3"/>
  <c r="L97" i="3"/>
  <c r="M97" i="3"/>
  <c r="N97" i="3"/>
  <c r="AA51" i="3"/>
  <c r="AA125" i="3" s="1"/>
  <c r="AB51" i="3"/>
  <c r="AB125" i="3" s="1"/>
  <c r="AC51" i="3"/>
  <c r="AC125" i="3" s="1"/>
  <c r="AD51" i="3"/>
  <c r="AD125" i="3" s="1"/>
  <c r="AE51" i="3"/>
  <c r="AE125" i="3" s="1"/>
  <c r="AF51" i="3"/>
  <c r="AF125" i="3" s="1"/>
  <c r="AA78" i="3"/>
  <c r="AB78" i="3"/>
  <c r="AC78" i="3"/>
  <c r="AD78" i="3"/>
  <c r="AE78" i="3"/>
  <c r="AF78" i="3"/>
  <c r="AA94" i="3"/>
  <c r="AB94" i="3"/>
  <c r="AC94" i="3"/>
  <c r="AD94" i="3"/>
  <c r="AE94" i="3"/>
  <c r="AF94" i="3"/>
  <c r="M8" i="3"/>
  <c r="I8" i="3"/>
  <c r="I130" i="3" s="1"/>
  <c r="J8" i="3"/>
  <c r="J130" i="3" s="1"/>
  <c r="K8" i="3"/>
  <c r="K130" i="3" s="1"/>
  <c r="L8" i="3"/>
  <c r="N8" i="3"/>
  <c r="N130" i="3" s="1"/>
  <c r="I82" i="3"/>
  <c r="J82" i="3"/>
  <c r="K82" i="3"/>
  <c r="K112" i="3" s="1"/>
  <c r="L82" i="3"/>
  <c r="M82" i="3"/>
  <c r="N82" i="3"/>
  <c r="I98" i="3"/>
  <c r="J98" i="3"/>
  <c r="K98" i="3"/>
  <c r="L98" i="3"/>
  <c r="M98" i="3"/>
  <c r="N98" i="3"/>
  <c r="AA104" i="3"/>
  <c r="AB104" i="3"/>
  <c r="AC104" i="3"/>
  <c r="AD104" i="3"/>
  <c r="AE104" i="3"/>
  <c r="AF104" i="3"/>
  <c r="AE52" i="3"/>
  <c r="AA52" i="3"/>
  <c r="AB52" i="3"/>
  <c r="AC52" i="3"/>
  <c r="AD52" i="3"/>
  <c r="AF52" i="3"/>
  <c r="AF79" i="3"/>
  <c r="AF121" i="3" s="1"/>
  <c r="AC79" i="3"/>
  <c r="AC121" i="3" s="1"/>
  <c r="AE79" i="3"/>
  <c r="AA79" i="3"/>
  <c r="AB79" i="3"/>
  <c r="AD79" i="3"/>
  <c r="AF95" i="3"/>
  <c r="AC95" i="3"/>
  <c r="AE95" i="3"/>
  <c r="AA95" i="3"/>
  <c r="AB95" i="3"/>
  <c r="AD95" i="3"/>
  <c r="N19" i="3"/>
  <c r="N108" i="3" s="1"/>
  <c r="M19" i="3"/>
  <c r="M108" i="3" s="1"/>
  <c r="K19" i="3"/>
  <c r="K108" i="3" s="1"/>
  <c r="I19" i="3"/>
  <c r="I108" i="3" s="1"/>
  <c r="J19" i="3"/>
  <c r="J108" i="3" s="1"/>
  <c r="L19" i="3"/>
  <c r="L108" i="3" s="1"/>
  <c r="J9" i="3"/>
  <c r="K9" i="3"/>
  <c r="L9" i="3"/>
  <c r="M9" i="3"/>
  <c r="N9" i="3"/>
  <c r="I9" i="3"/>
  <c r="N83" i="3"/>
  <c r="K83" i="3"/>
  <c r="I83" i="3"/>
  <c r="J83" i="3"/>
  <c r="L83" i="3"/>
  <c r="M83" i="3"/>
  <c r="N99" i="3"/>
  <c r="K99" i="3"/>
  <c r="I99" i="3"/>
  <c r="M99" i="3"/>
  <c r="J99" i="3"/>
  <c r="L99" i="3"/>
  <c r="AA105" i="3"/>
  <c r="AB105" i="3"/>
  <c r="AC105" i="3"/>
  <c r="AD105" i="3"/>
  <c r="AE105" i="3"/>
  <c r="AF105" i="3"/>
  <c r="AB53" i="3"/>
  <c r="AC53" i="3"/>
  <c r="AD53" i="3"/>
  <c r="AE53" i="3"/>
  <c r="AF53" i="3"/>
  <c r="AA53" i="3"/>
  <c r="AA80" i="3"/>
  <c r="AB80" i="3"/>
  <c r="AC80" i="3"/>
  <c r="AD80" i="3"/>
  <c r="AE80" i="3"/>
  <c r="AF80" i="3"/>
  <c r="AA96" i="3"/>
  <c r="AB96" i="3"/>
  <c r="AC96" i="3"/>
  <c r="AD96" i="3"/>
  <c r="AE96" i="3"/>
  <c r="AF96" i="3"/>
  <c r="I50" i="3"/>
  <c r="I110" i="3" s="1"/>
  <c r="J50" i="3"/>
  <c r="J110" i="3" s="1"/>
  <c r="K50" i="3"/>
  <c r="L50" i="3"/>
  <c r="M50" i="3"/>
  <c r="N50" i="3"/>
  <c r="I84" i="3"/>
  <c r="J84" i="3"/>
  <c r="K84" i="3"/>
  <c r="L84" i="3"/>
  <c r="M84" i="3"/>
  <c r="N84" i="3"/>
  <c r="I100" i="3"/>
  <c r="J100" i="3"/>
  <c r="K100" i="3"/>
  <c r="L100" i="3"/>
  <c r="M100" i="3"/>
  <c r="N100" i="3"/>
  <c r="K28" i="9"/>
  <c r="L28" i="9"/>
  <c r="M28" i="9"/>
  <c r="N28" i="9"/>
  <c r="O28" i="9"/>
  <c r="P28" i="9"/>
  <c r="K53" i="9"/>
  <c r="L53" i="9"/>
  <c r="M53" i="9"/>
  <c r="N53" i="9"/>
  <c r="O53" i="9"/>
  <c r="P53" i="9"/>
  <c r="M38" i="9"/>
  <c r="N38" i="9"/>
  <c r="O38" i="9"/>
  <c r="P38" i="9"/>
  <c r="L38" i="9"/>
  <c r="K38" i="9"/>
  <c r="K33" i="9"/>
  <c r="L33" i="9"/>
  <c r="N33" i="9"/>
  <c r="O33" i="9"/>
  <c r="P33" i="9"/>
  <c r="L21" i="1"/>
  <c r="L114" i="1" s="1"/>
  <c r="L121" i="1" s="1"/>
  <c r="N94" i="1"/>
  <c r="N86" i="1"/>
  <c r="N21" i="1"/>
  <c r="J77" i="1"/>
  <c r="J86" i="1"/>
  <c r="J82" i="1"/>
  <c r="N77" i="1"/>
  <c r="N125" i="1" s="1"/>
  <c r="N13" i="1"/>
  <c r="J95" i="1"/>
  <c r="N11" i="1"/>
  <c r="L82" i="1"/>
  <c r="J90" i="1"/>
  <c r="J106" i="1"/>
  <c r="L95" i="1"/>
  <c r="N7" i="1"/>
  <c r="N55" i="1"/>
  <c r="N31" i="1" s="1"/>
  <c r="J98" i="1"/>
  <c r="L106" i="1"/>
  <c r="N23" i="1"/>
  <c r="J87" i="1"/>
  <c r="J93" i="1"/>
  <c r="L79" i="1"/>
  <c r="L98" i="1"/>
  <c r="L93" i="1"/>
  <c r="N52" i="1"/>
  <c r="L55" i="1"/>
  <c r="J53" i="1"/>
  <c r="J23" i="1"/>
  <c r="J114" i="1" s="1"/>
  <c r="J121" i="1" s="1"/>
  <c r="L23" i="1"/>
  <c r="L13" i="1"/>
  <c r="J11" i="1"/>
  <c r="J113" i="1" s="1"/>
  <c r="J120" i="1" s="1"/>
  <c r="L11" i="1"/>
  <c r="L57" i="1"/>
  <c r="N54" i="1"/>
  <c r="J51" i="1"/>
  <c r="N53" i="1"/>
  <c r="L56" i="1"/>
  <c r="L32" i="1" s="1"/>
  <c r="L51" i="1"/>
  <c r="J54" i="1"/>
  <c r="J30" i="1" s="1"/>
  <c r="N56" i="1"/>
  <c r="N32" i="1" s="1"/>
  <c r="N51" i="1"/>
  <c r="N27" i="1" s="1"/>
  <c r="J57" i="1"/>
  <c r="L54" i="1"/>
  <c r="J52" i="1"/>
  <c r="J28" i="1" s="1"/>
  <c r="L52" i="1"/>
  <c r="J55" i="1"/>
  <c r="L50" i="1"/>
  <c r="L9" i="1"/>
  <c r="N9" i="1"/>
  <c r="N137" i="1" s="1"/>
  <c r="L2" i="1"/>
  <c r="J2" i="1"/>
  <c r="J26" i="1" s="1"/>
  <c r="N2" i="1"/>
  <c r="N26" i="1" s="1"/>
  <c r="J3" i="1"/>
  <c r="J131" i="1" s="1"/>
  <c r="L3" i="1"/>
  <c r="N5" i="1"/>
  <c r="N6" i="1"/>
  <c r="L5" i="1"/>
  <c r="L133" i="1" s="1"/>
  <c r="L6" i="1"/>
  <c r="J9" i="1"/>
  <c r="L4" i="1"/>
  <c r="J7" i="1"/>
  <c r="N4" i="1"/>
  <c r="N132" i="1" s="1"/>
  <c r="L7" i="1"/>
  <c r="J5" i="1"/>
  <c r="N92" i="1"/>
  <c r="N124" i="1" s="1"/>
  <c r="J96" i="1"/>
  <c r="L96" i="1"/>
  <c r="J97" i="1"/>
  <c r="L90" i="1"/>
  <c r="J91" i="1"/>
  <c r="L91" i="1"/>
  <c r="J92" i="1"/>
  <c r="N89" i="1"/>
  <c r="N129" i="1" s="1"/>
  <c r="N83" i="1"/>
  <c r="L84" i="1"/>
  <c r="J85" i="1"/>
  <c r="L86" i="1"/>
  <c r="L87" i="1"/>
  <c r="J88" i="1"/>
  <c r="L88" i="1"/>
  <c r="J89" i="1"/>
  <c r="J83" i="1"/>
  <c r="L75" i="1"/>
  <c r="N75" i="1"/>
  <c r="N79" i="1"/>
  <c r="N127" i="1" s="1"/>
  <c r="J81" i="1"/>
  <c r="L81" i="1"/>
  <c r="L129" i="1" s="1"/>
  <c r="J80" i="1"/>
  <c r="L80" i="1"/>
  <c r="J79" i="1"/>
  <c r="L78" i="1"/>
  <c r="J78" i="1"/>
  <c r="L77" i="1"/>
  <c r="J76" i="1"/>
  <c r="L76" i="1"/>
  <c r="J74" i="1"/>
  <c r="L74" i="1"/>
  <c r="N30" i="1" l="1"/>
  <c r="N126" i="1"/>
  <c r="N136" i="1"/>
  <c r="J133" i="1"/>
  <c r="L124" i="1"/>
  <c r="L132" i="1"/>
  <c r="J116" i="1"/>
  <c r="N114" i="1"/>
  <c r="N121" i="1" s="1"/>
  <c r="L135" i="1"/>
  <c r="L131" i="1"/>
  <c r="J137" i="1"/>
  <c r="L30" i="1"/>
  <c r="L119" i="1"/>
  <c r="N131" i="1"/>
  <c r="L33" i="1"/>
  <c r="J31" i="1"/>
  <c r="J123" i="1"/>
  <c r="L28" i="1"/>
  <c r="N118" i="1"/>
  <c r="J134" i="1"/>
  <c r="J127" i="1"/>
  <c r="N133" i="1"/>
  <c r="L26" i="1"/>
  <c r="L116" i="1"/>
  <c r="N135" i="1"/>
  <c r="J135" i="1"/>
  <c r="N116" i="1"/>
  <c r="L137" i="1"/>
  <c r="J126" i="1"/>
  <c r="J119" i="1"/>
  <c r="L122" i="1"/>
  <c r="L117" i="1"/>
  <c r="L118" i="1"/>
  <c r="N33" i="1"/>
  <c r="J124" i="1"/>
  <c r="J29" i="1"/>
  <c r="N113" i="1"/>
  <c r="N120" i="1" s="1"/>
  <c r="L29" i="1"/>
  <c r="N119" i="1"/>
  <c r="L130" i="1"/>
  <c r="L112" i="1"/>
  <c r="L111" i="1" s="1"/>
  <c r="L125" i="1"/>
  <c r="L126" i="1"/>
  <c r="L134" i="1"/>
  <c r="J33" i="1"/>
  <c r="L31" i="1"/>
  <c r="L128" i="1"/>
  <c r="N28" i="1"/>
  <c r="L136" i="1"/>
  <c r="J129" i="1"/>
  <c r="L27" i="1"/>
  <c r="L127" i="1"/>
  <c r="J118" i="1"/>
  <c r="L113" i="1"/>
  <c r="L120" i="1" s="1"/>
  <c r="N134" i="1"/>
  <c r="N123" i="1"/>
  <c r="N130" i="1"/>
  <c r="N112" i="1"/>
  <c r="N29" i="1"/>
  <c r="J125" i="1"/>
  <c r="J132" i="1"/>
  <c r="J122" i="1"/>
  <c r="J117" i="1"/>
  <c r="J128" i="1"/>
  <c r="N117" i="1"/>
  <c r="L123" i="1"/>
  <c r="J130" i="1"/>
  <c r="J112" i="1"/>
  <c r="J27" i="1"/>
  <c r="X13" i="3"/>
  <c r="AJ13" i="3" s="1"/>
  <c r="Z11" i="1"/>
  <c r="Y13" i="3"/>
  <c r="Y11" i="1"/>
  <c r="X15" i="3"/>
  <c r="Y15" i="3"/>
  <c r="H35" i="1"/>
  <c r="H59" i="1"/>
  <c r="H39" i="1"/>
  <c r="H121" i="1"/>
  <c r="Z13" i="1"/>
  <c r="Y13" i="1"/>
  <c r="AJ11" i="1"/>
  <c r="X15" i="1"/>
  <c r="Z15" i="1"/>
  <c r="AJ13" i="1"/>
  <c r="AA110" i="3"/>
  <c r="AA124" i="3"/>
  <c r="AF118" i="3"/>
  <c r="AB116" i="3"/>
  <c r="AB111" i="3"/>
  <c r="I116" i="3"/>
  <c r="I111" i="3"/>
  <c r="AF126" i="3"/>
  <c r="AF106" i="3"/>
  <c r="AC112" i="3"/>
  <c r="AC110" i="3"/>
  <c r="AC124" i="3"/>
  <c r="J117" i="3"/>
  <c r="AC118" i="3"/>
  <c r="AF123" i="3"/>
  <c r="M120" i="3"/>
  <c r="AF116" i="3"/>
  <c r="AF111" i="3"/>
  <c r="I118" i="3"/>
  <c r="AC126" i="3"/>
  <c r="AC106" i="3"/>
  <c r="AF112" i="3"/>
  <c r="AF110" i="3"/>
  <c r="AF109" i="3" s="1"/>
  <c r="AF124" i="3"/>
  <c r="AA116" i="3"/>
  <c r="AA111" i="3"/>
  <c r="N112" i="3"/>
  <c r="AE110" i="3"/>
  <c r="AE124" i="3"/>
  <c r="L117" i="3"/>
  <c r="AE123" i="3"/>
  <c r="AE116" i="3"/>
  <c r="AE111" i="3"/>
  <c r="N119" i="3"/>
  <c r="AF128" i="3"/>
  <c r="AB126" i="3"/>
  <c r="AB106" i="3"/>
  <c r="AE112" i="3"/>
  <c r="AB110" i="3"/>
  <c r="AB109" i="3" s="1"/>
  <c r="AB124" i="3"/>
  <c r="N120" i="3"/>
  <c r="M112" i="3"/>
  <c r="AD110" i="3"/>
  <c r="AD109" i="3" s="1"/>
  <c r="AD124" i="3"/>
  <c r="I117" i="3"/>
  <c r="AC116" i="3"/>
  <c r="AC111" i="3"/>
  <c r="M119" i="3"/>
  <c r="AE128" i="3"/>
  <c r="AA126" i="3"/>
  <c r="AA106" i="3"/>
  <c r="AD112" i="3"/>
  <c r="L112" i="3"/>
  <c r="AF120" i="3"/>
  <c r="K117" i="3"/>
  <c r="AE118" i="3"/>
  <c r="AC123" i="3"/>
  <c r="AD116" i="3"/>
  <c r="AD111" i="3"/>
  <c r="L119" i="3"/>
  <c r="N113" i="3"/>
  <c r="AD128" i="3"/>
  <c r="AA127" i="3"/>
  <c r="AE126" i="3"/>
  <c r="AE106" i="3"/>
  <c r="M113" i="3"/>
  <c r="AF122" i="3"/>
  <c r="J112" i="3"/>
  <c r="AD120" i="3"/>
  <c r="N123" i="3"/>
  <c r="N117" i="3"/>
  <c r="M121" i="3"/>
  <c r="J119" i="3"/>
  <c r="I124" i="3"/>
  <c r="I106" i="3"/>
  <c r="I109" i="3" s="1"/>
  <c r="L113" i="3"/>
  <c r="L107" i="3"/>
  <c r="AB128" i="3"/>
  <c r="AE127" i="3"/>
  <c r="AE122" i="3"/>
  <c r="I112" i="3"/>
  <c r="AC120" i="3"/>
  <c r="M123" i="3"/>
  <c r="L121" i="3"/>
  <c r="AF117" i="3"/>
  <c r="I119" i="3"/>
  <c r="J124" i="3"/>
  <c r="J106" i="3"/>
  <c r="J109" i="3" s="1"/>
  <c r="K113" i="3"/>
  <c r="K107" i="3"/>
  <c r="AA128" i="3"/>
  <c r="AD127" i="3"/>
  <c r="O109" i="3"/>
  <c r="AD122" i="3"/>
  <c r="AB120" i="3"/>
  <c r="I123" i="3"/>
  <c r="AF119" i="3"/>
  <c r="K121" i="3"/>
  <c r="AE117" i="3"/>
  <c r="K124" i="3"/>
  <c r="K106" i="3"/>
  <c r="J113" i="3"/>
  <c r="J107" i="3"/>
  <c r="AC127" i="3"/>
  <c r="AD126" i="3"/>
  <c r="AD106" i="3"/>
  <c r="AC122" i="3"/>
  <c r="L130" i="3"/>
  <c r="AA120" i="3"/>
  <c r="L123" i="3"/>
  <c r="AE119" i="3"/>
  <c r="J121" i="3"/>
  <c r="AD117" i="3"/>
  <c r="AB113" i="3"/>
  <c r="L125" i="3"/>
  <c r="L124" i="3"/>
  <c r="L106" i="3"/>
  <c r="I113" i="3"/>
  <c r="I107" i="3"/>
  <c r="AB127" i="3"/>
  <c r="AE120" i="3"/>
  <c r="N110" i="3"/>
  <c r="AB122" i="3"/>
  <c r="AD121" i="3"/>
  <c r="K123" i="3"/>
  <c r="AD119" i="3"/>
  <c r="I121" i="3"/>
  <c r="AC117" i="3"/>
  <c r="AA113" i="3"/>
  <c r="J125" i="3"/>
  <c r="AA130" i="3"/>
  <c r="M124" i="3"/>
  <c r="M106" i="3"/>
  <c r="N116" i="3"/>
  <c r="N111" i="3"/>
  <c r="M107" i="3"/>
  <c r="M110" i="3"/>
  <c r="AA122" i="3"/>
  <c r="AB121" i="3"/>
  <c r="J123" i="3"/>
  <c r="AA119" i="3"/>
  <c r="AB117" i="3"/>
  <c r="AC113" i="3"/>
  <c r="N124" i="3"/>
  <c r="N106" i="3"/>
  <c r="M116" i="3"/>
  <c r="M111" i="3"/>
  <c r="N107" i="3"/>
  <c r="Q109" i="3"/>
  <c r="J116" i="3"/>
  <c r="J111" i="3"/>
  <c r="L110" i="3"/>
  <c r="L109" i="3" s="1"/>
  <c r="AA121" i="3"/>
  <c r="N129" i="3"/>
  <c r="AC119" i="3"/>
  <c r="M127" i="3"/>
  <c r="AA117" i="3"/>
  <c r="AF113" i="3"/>
  <c r="N118" i="3"/>
  <c r="M125" i="3"/>
  <c r="L116" i="3"/>
  <c r="L111" i="3"/>
  <c r="K110" i="3"/>
  <c r="K109" i="3" s="1"/>
  <c r="AE121" i="3"/>
  <c r="M130" i="3"/>
  <c r="M129" i="3"/>
  <c r="AB119" i="3"/>
  <c r="N122" i="3"/>
  <c r="L127" i="3"/>
  <c r="K120" i="3"/>
  <c r="AE113" i="3"/>
  <c r="M118" i="3"/>
  <c r="K125" i="3"/>
  <c r="K116" i="3"/>
  <c r="K111" i="3"/>
  <c r="J111" i="1" l="1"/>
  <c r="N111" i="1"/>
  <c r="N110" i="1"/>
  <c r="N115" i="1"/>
  <c r="L110" i="1"/>
  <c r="J110" i="1"/>
  <c r="L115" i="1"/>
  <c r="J115" i="1"/>
  <c r="R13" i="3"/>
  <c r="S13" i="3"/>
  <c r="W13" i="1"/>
  <c r="W13" i="3"/>
  <c r="V13" i="3"/>
  <c r="U13" i="3"/>
  <c r="T13" i="3"/>
  <c r="S11" i="1"/>
  <c r="T11" i="1"/>
  <c r="R11" i="1"/>
  <c r="W15" i="3"/>
  <c r="AJ15" i="3"/>
  <c r="R15" i="3"/>
  <c r="W11" i="1"/>
  <c r="V11" i="1"/>
  <c r="U11" i="1"/>
  <c r="T13" i="1"/>
  <c r="S13" i="1"/>
  <c r="U15" i="3"/>
  <c r="T15" i="3"/>
  <c r="S15" i="3"/>
  <c r="R13" i="1"/>
  <c r="Y113" i="1"/>
  <c r="Y120" i="1" s="1"/>
  <c r="V13" i="1"/>
  <c r="U13" i="1"/>
  <c r="V15" i="3"/>
  <c r="Z113" i="1"/>
  <c r="Z120" i="1" s="1"/>
  <c r="U15" i="1"/>
  <c r="R15" i="1"/>
  <c r="S15" i="1"/>
  <c r="T15" i="1"/>
  <c r="V15" i="1"/>
  <c r="W15" i="1"/>
  <c r="AJ15" i="1"/>
  <c r="AJ113" i="1" s="1"/>
  <c r="AJ120" i="1" s="1"/>
  <c r="X113" i="1"/>
  <c r="X120" i="1" s="1"/>
  <c r="AE109" i="3"/>
  <c r="M109" i="3"/>
  <c r="AA109" i="3"/>
  <c r="N109" i="3"/>
  <c r="AC109" i="3"/>
  <c r="V113" i="1" l="1"/>
  <c r="V120" i="1" s="1"/>
  <c r="S113" i="1"/>
  <c r="S120" i="1" s="1"/>
  <c r="W113" i="1"/>
  <c r="W120" i="1" s="1"/>
  <c r="U113" i="1"/>
  <c r="U120" i="1" s="1"/>
  <c r="T113" i="1"/>
  <c r="T120" i="1" s="1"/>
  <c r="R113" i="1"/>
  <c r="R120" i="1" s="1"/>
  <c r="H11" i="3" l="1"/>
  <c r="X11" i="3" s="1"/>
  <c r="G11" i="5"/>
  <c r="G5" i="5"/>
  <c r="I11" i="5"/>
  <c r="H11" i="5" s="1"/>
  <c r="G9" i="5"/>
  <c r="G2" i="5"/>
  <c r="I2" i="5"/>
  <c r="H2" i="5" s="1"/>
  <c r="I10" i="5"/>
  <c r="H10" i="5" s="1"/>
  <c r="G10" i="5"/>
  <c r="H100" i="3" s="1"/>
  <c r="H103" i="1"/>
  <c r="X103" i="1" s="1"/>
  <c r="I5" i="5"/>
  <c r="H5" i="5"/>
  <c r="H9" i="5"/>
  <c r="I9" i="5"/>
  <c r="G8" i="5"/>
  <c r="I8" i="5"/>
  <c r="H8" i="5" s="1"/>
  <c r="H78" i="1"/>
  <c r="X78" i="1" s="1"/>
  <c r="H77" i="3"/>
  <c r="Y77" i="3" s="1"/>
  <c r="H5" i="1"/>
  <c r="X5" i="1" s="1"/>
  <c r="I4" i="5"/>
  <c r="H4" i="5" s="1"/>
  <c r="G4" i="5"/>
  <c r="H104" i="1" s="1"/>
  <c r="H75" i="1"/>
  <c r="Z75" i="1" s="1"/>
  <c r="H7" i="3"/>
  <c r="Z7" i="3" s="1"/>
  <c r="H75" i="3"/>
  <c r="Z75" i="3" s="1"/>
  <c r="H5" i="3"/>
  <c r="Y5" i="3" s="1"/>
  <c r="H79" i="1"/>
  <c r="Y79" i="1" s="1"/>
  <c r="H79" i="3"/>
  <c r="Z79" i="3" s="1"/>
  <c r="H76" i="1"/>
  <c r="X76" i="1" s="1"/>
  <c r="I7" i="5"/>
  <c r="H7" i="5" s="1"/>
  <c r="G7" i="5"/>
  <c r="H23" i="3" s="1"/>
  <c r="H19" i="1"/>
  <c r="Z19" i="1" s="1"/>
  <c r="I3" i="5"/>
  <c r="H3" i="5" s="1"/>
  <c r="G3" i="5"/>
  <c r="H9" i="1" s="1"/>
  <c r="H77" i="1"/>
  <c r="Z77" i="1" s="1"/>
  <c r="X75" i="3" l="1"/>
  <c r="X23" i="3"/>
  <c r="Z23" i="3"/>
  <c r="Y23" i="3"/>
  <c r="Y9" i="1"/>
  <c r="X9" i="1"/>
  <c r="Z9" i="1"/>
  <c r="Z104" i="1"/>
  <c r="Y104" i="1"/>
  <c r="X104" i="1"/>
  <c r="AJ5" i="1"/>
  <c r="AJ78" i="1"/>
  <c r="AJ76" i="1"/>
  <c r="AJ103" i="1"/>
  <c r="Y77" i="1"/>
  <c r="X77" i="3"/>
  <c r="H78" i="3"/>
  <c r="H2" i="1"/>
  <c r="Y19" i="1"/>
  <c r="H2" i="3"/>
  <c r="H6" i="3"/>
  <c r="Y5" i="1"/>
  <c r="Z77" i="3"/>
  <c r="Z79" i="1"/>
  <c r="H53" i="3"/>
  <c r="H96" i="1"/>
  <c r="X79" i="1"/>
  <c r="H8" i="1"/>
  <c r="H56" i="1"/>
  <c r="H4" i="1"/>
  <c r="Y75" i="3"/>
  <c r="V75" i="3" s="1"/>
  <c r="H8" i="3"/>
  <c r="H50" i="3"/>
  <c r="Z103" i="1"/>
  <c r="I63" i="28"/>
  <c r="H137" i="1"/>
  <c r="I67" i="28"/>
  <c r="H119" i="1"/>
  <c r="H132" i="1"/>
  <c r="H115" i="1"/>
  <c r="H128" i="1"/>
  <c r="H104" i="3"/>
  <c r="H82" i="3"/>
  <c r="H52" i="3"/>
  <c r="H102" i="3"/>
  <c r="I49" i="28"/>
  <c r="I55" i="28"/>
  <c r="H133" i="1"/>
  <c r="I54" i="28"/>
  <c r="I36" i="28"/>
  <c r="I68" i="28"/>
  <c r="H123" i="3"/>
  <c r="I22" i="28"/>
  <c r="H95" i="3"/>
  <c r="H89" i="1"/>
  <c r="I65" i="28"/>
  <c r="H135" i="1"/>
  <c r="H129" i="3"/>
  <c r="I21" i="28"/>
  <c r="H126" i="3"/>
  <c r="H111" i="1"/>
  <c r="H126" i="1"/>
  <c r="H54" i="3"/>
  <c r="H86" i="1"/>
  <c r="H88" i="1"/>
  <c r="H84" i="1"/>
  <c r="H85" i="3"/>
  <c r="I66" i="28"/>
  <c r="H30" i="3"/>
  <c r="I9" i="28"/>
  <c r="I35" i="28"/>
  <c r="H112" i="3"/>
  <c r="H27" i="1"/>
  <c r="I19" i="28"/>
  <c r="H89" i="3"/>
  <c r="I41" i="28"/>
  <c r="I59" i="28"/>
  <c r="H128" i="3"/>
  <c r="I52" i="28"/>
  <c r="I56" i="28"/>
  <c r="I62" i="28"/>
  <c r="H32" i="1"/>
  <c r="H97" i="1"/>
  <c r="H105" i="1"/>
  <c r="H51" i="3"/>
  <c r="H129" i="1"/>
  <c r="H109" i="3"/>
  <c r="H27" i="3"/>
  <c r="I30" i="28"/>
  <c r="H125" i="3"/>
  <c r="I60" i="28"/>
  <c r="I42" i="28"/>
  <c r="I18" i="28"/>
  <c r="H83" i="3"/>
  <c r="H88" i="3"/>
  <c r="I51" i="28"/>
  <c r="H106" i="3"/>
  <c r="I33" i="28"/>
  <c r="H116" i="1"/>
  <c r="H32" i="3"/>
  <c r="H105" i="3"/>
  <c r="H28" i="1"/>
  <c r="I27" i="28"/>
  <c r="H83" i="1"/>
  <c r="H85" i="1"/>
  <c r="H96" i="3"/>
  <c r="H98" i="1"/>
  <c r="H94" i="1"/>
  <c r="I40" i="28"/>
  <c r="H125" i="1"/>
  <c r="H28" i="3"/>
  <c r="H124" i="1"/>
  <c r="I64" i="28"/>
  <c r="H57" i="3"/>
  <c r="H124" i="3"/>
  <c r="H33" i="1"/>
  <c r="H87" i="3"/>
  <c r="H90" i="1"/>
  <c r="H55" i="3"/>
  <c r="H29" i="3"/>
  <c r="H127" i="3"/>
  <c r="I37" i="28"/>
  <c r="H112" i="1"/>
  <c r="I43" i="28"/>
  <c r="H117" i="1"/>
  <c r="H117" i="3"/>
  <c r="H116" i="3"/>
  <c r="H91" i="1"/>
  <c r="I2" i="28"/>
  <c r="I32" i="28"/>
  <c r="I20" i="28"/>
  <c r="I24" i="28"/>
  <c r="H113" i="3"/>
  <c r="I29" i="28"/>
  <c r="I39" i="28"/>
  <c r="H30" i="1"/>
  <c r="H98" i="3"/>
  <c r="I38" i="28"/>
  <c r="I3" i="28"/>
  <c r="H26" i="1"/>
  <c r="H120" i="3"/>
  <c r="H127" i="1"/>
  <c r="I4" i="28"/>
  <c r="H118" i="1"/>
  <c r="I16" i="28"/>
  <c r="H91" i="3"/>
  <c r="H95" i="1"/>
  <c r="H92" i="1"/>
  <c r="H87" i="1"/>
  <c r="H93" i="1"/>
  <c r="H82" i="1"/>
  <c r="I6" i="28"/>
  <c r="I44" i="28"/>
  <c r="I50" i="28"/>
  <c r="I47" i="28"/>
  <c r="I17" i="28"/>
  <c r="H33" i="3"/>
  <c r="I58" i="28"/>
  <c r="H26" i="3"/>
  <c r="H94" i="3"/>
  <c r="H110" i="1"/>
  <c r="H134" i="1"/>
  <c r="H119" i="3"/>
  <c r="I23" i="28"/>
  <c r="H31" i="3"/>
  <c r="I25" i="28"/>
  <c r="I34" i="28"/>
  <c r="H122" i="3"/>
  <c r="H97" i="3"/>
  <c r="H111" i="3"/>
  <c r="H130" i="3"/>
  <c r="H136" i="1"/>
  <c r="I61" i="28"/>
  <c r="H110" i="3"/>
  <c r="I48" i="28"/>
  <c r="H29" i="1"/>
  <c r="I26" i="28"/>
  <c r="H84" i="3"/>
  <c r="H31" i="1"/>
  <c r="I31" i="28"/>
  <c r="I28" i="28"/>
  <c r="H123" i="1"/>
  <c r="H121" i="3"/>
  <c r="I45" i="28"/>
  <c r="H122" i="1"/>
  <c r="I46" i="28"/>
  <c r="H9" i="3"/>
  <c r="H56" i="3"/>
  <c r="H130" i="1"/>
  <c r="I7" i="28"/>
  <c r="H131" i="1"/>
  <c r="I5" i="28"/>
  <c r="I57" i="28"/>
  <c r="I8" i="28"/>
  <c r="H118" i="3"/>
  <c r="I53" i="28"/>
  <c r="H92" i="3"/>
  <c r="H86" i="3"/>
  <c r="H50" i="1"/>
  <c r="X5" i="3"/>
  <c r="X19" i="1"/>
  <c r="H74" i="3"/>
  <c r="Z100" i="3"/>
  <c r="Y100" i="3"/>
  <c r="X100" i="3"/>
  <c r="Y7" i="3"/>
  <c r="H3" i="3"/>
  <c r="X7" i="3"/>
  <c r="Z5" i="3"/>
  <c r="H52" i="1"/>
  <c r="H81" i="1"/>
  <c r="H55" i="1"/>
  <c r="H101" i="3"/>
  <c r="Y78" i="1"/>
  <c r="Y103" i="1"/>
  <c r="R103" i="1" s="1"/>
  <c r="H4" i="3"/>
  <c r="H54" i="1"/>
  <c r="Z78" i="1"/>
  <c r="H90" i="3"/>
  <c r="H57" i="1"/>
  <c r="H51" i="1"/>
  <c r="H3" i="1"/>
  <c r="R75" i="3"/>
  <c r="AJ75" i="3"/>
  <c r="X77" i="1"/>
  <c r="H53" i="1"/>
  <c r="H7" i="1"/>
  <c r="Z5" i="1"/>
  <c r="Y76" i="1"/>
  <c r="Z76" i="1"/>
  <c r="H80" i="3"/>
  <c r="Y79" i="3"/>
  <c r="H81" i="3"/>
  <c r="H74" i="1"/>
  <c r="Y75" i="1"/>
  <c r="H44" i="3"/>
  <c r="H46" i="1"/>
  <c r="H45" i="3"/>
  <c r="H25" i="3"/>
  <c r="H73" i="3"/>
  <c r="H43" i="1"/>
  <c r="H47" i="3"/>
  <c r="H22" i="1"/>
  <c r="H72" i="1"/>
  <c r="H20" i="3"/>
  <c r="H24" i="1"/>
  <c r="H48" i="3"/>
  <c r="H68" i="3"/>
  <c r="I15" i="28"/>
  <c r="H18" i="3"/>
  <c r="H70" i="1"/>
  <c r="H42" i="1"/>
  <c r="H42" i="3"/>
  <c r="H23" i="1"/>
  <c r="H66" i="3"/>
  <c r="H71" i="1"/>
  <c r="H70" i="3"/>
  <c r="H22" i="3"/>
  <c r="H73" i="1"/>
  <c r="H71" i="3"/>
  <c r="H21" i="3"/>
  <c r="H69" i="1"/>
  <c r="H69" i="3"/>
  <c r="H120" i="1"/>
  <c r="H43" i="3"/>
  <c r="I13" i="28"/>
  <c r="H44" i="1"/>
  <c r="H72" i="3"/>
  <c r="H49" i="1"/>
  <c r="H24" i="3"/>
  <c r="H114" i="3"/>
  <c r="H48" i="1"/>
  <c r="I14" i="28"/>
  <c r="H49" i="3"/>
  <c r="H67" i="3"/>
  <c r="H46" i="3"/>
  <c r="H108" i="3"/>
  <c r="H66" i="1"/>
  <c r="H18" i="1"/>
  <c r="H20" i="1"/>
  <c r="H47" i="1"/>
  <c r="H114" i="1"/>
  <c r="H68" i="1"/>
  <c r="H21" i="1"/>
  <c r="H25" i="1"/>
  <c r="H45" i="1"/>
  <c r="H67" i="1"/>
  <c r="H6" i="1"/>
  <c r="H80" i="1"/>
  <c r="H99" i="3"/>
  <c r="H102" i="1"/>
  <c r="H103" i="3"/>
  <c r="H106" i="1"/>
  <c r="H93" i="3"/>
  <c r="X79" i="3"/>
  <c r="H19" i="3"/>
  <c r="X75" i="1"/>
  <c r="H76" i="3"/>
  <c r="AJ11" i="3"/>
  <c r="AJ107" i="3" s="1"/>
  <c r="X107" i="3"/>
  <c r="Z11" i="3"/>
  <c r="Z107" i="3" s="1"/>
  <c r="Y11" i="3"/>
  <c r="Y107" i="3" s="1"/>
  <c r="V5" i="1" l="1"/>
  <c r="T75" i="3"/>
  <c r="U76" i="1"/>
  <c r="X19" i="3"/>
  <c r="Y19" i="3"/>
  <c r="Z19" i="3"/>
  <c r="X90" i="3"/>
  <c r="Z90" i="3"/>
  <c r="Y90" i="3"/>
  <c r="Z56" i="3"/>
  <c r="X56" i="3"/>
  <c r="Y56" i="3"/>
  <c r="Z94" i="1"/>
  <c r="Y94" i="1"/>
  <c r="X94" i="1"/>
  <c r="Z52" i="3"/>
  <c r="Y52" i="3"/>
  <c r="X52" i="3"/>
  <c r="Y2" i="1"/>
  <c r="X2" i="1"/>
  <c r="Z2" i="1"/>
  <c r="T76" i="1"/>
  <c r="U5" i="1"/>
  <c r="Y9" i="3"/>
  <c r="Z9" i="3"/>
  <c r="X9" i="3"/>
  <c r="Y98" i="1"/>
  <c r="Z98" i="1"/>
  <c r="X98" i="1"/>
  <c r="X89" i="3"/>
  <c r="Y89" i="3"/>
  <c r="Z89" i="3"/>
  <c r="X82" i="3"/>
  <c r="Z82" i="3"/>
  <c r="Y82" i="3"/>
  <c r="Y4" i="1"/>
  <c r="Z4" i="1"/>
  <c r="X4" i="1"/>
  <c r="X78" i="3"/>
  <c r="Z78" i="3"/>
  <c r="Y78" i="3"/>
  <c r="R76" i="1"/>
  <c r="Y54" i="1"/>
  <c r="X54" i="1"/>
  <c r="Z54" i="1"/>
  <c r="W19" i="1"/>
  <c r="S19" i="1"/>
  <c r="AJ19" i="1"/>
  <c r="U19" i="1"/>
  <c r="V19" i="1"/>
  <c r="T19" i="1"/>
  <c r="R19" i="1"/>
  <c r="X96" i="3"/>
  <c r="Z96" i="3"/>
  <c r="Y96" i="3"/>
  <c r="Z56" i="1"/>
  <c r="Y56" i="1"/>
  <c r="X56" i="1"/>
  <c r="T77" i="3"/>
  <c r="S77" i="3"/>
  <c r="W77" i="3"/>
  <c r="AJ77" i="3"/>
  <c r="U77" i="3"/>
  <c r="V77" i="3"/>
  <c r="R77" i="3"/>
  <c r="W5" i="1"/>
  <c r="Y106" i="1"/>
  <c r="Z106" i="1"/>
  <c r="X106" i="1"/>
  <c r="Y4" i="3"/>
  <c r="Z4" i="3"/>
  <c r="X4" i="3"/>
  <c r="R5" i="3"/>
  <c r="S5" i="3"/>
  <c r="T5" i="3"/>
  <c r="W5" i="3"/>
  <c r="AJ5" i="3"/>
  <c r="U5" i="3"/>
  <c r="V5" i="3"/>
  <c r="Z97" i="3"/>
  <c r="X97" i="3"/>
  <c r="Y97" i="3"/>
  <c r="Z98" i="3"/>
  <c r="X98" i="3"/>
  <c r="Y98" i="3"/>
  <c r="X85" i="1"/>
  <c r="Y85" i="1"/>
  <c r="Z85" i="1"/>
  <c r="Z8" i="1"/>
  <c r="X8" i="1"/>
  <c r="Y8" i="1"/>
  <c r="Y136" i="1" s="1"/>
  <c r="Z83" i="1"/>
  <c r="X83" i="1"/>
  <c r="Y83" i="1"/>
  <c r="S79" i="1"/>
  <c r="U79" i="1"/>
  <c r="R79" i="1"/>
  <c r="T79" i="1"/>
  <c r="V79" i="1"/>
  <c r="AJ79" i="1"/>
  <c r="W79" i="1"/>
  <c r="S76" i="1"/>
  <c r="X102" i="1"/>
  <c r="Y102" i="1"/>
  <c r="Z102" i="1"/>
  <c r="X50" i="1"/>
  <c r="Y50" i="1"/>
  <c r="Z50" i="1"/>
  <c r="Z82" i="1"/>
  <c r="Y82" i="1"/>
  <c r="X82" i="1"/>
  <c r="Y55" i="3"/>
  <c r="Y129" i="3" s="1"/>
  <c r="X55" i="3"/>
  <c r="X129" i="3" s="1"/>
  <c r="Z55" i="3"/>
  <c r="Z129" i="3" s="1"/>
  <c r="Z89" i="1"/>
  <c r="X89" i="1"/>
  <c r="Y89" i="1"/>
  <c r="V103" i="1"/>
  <c r="T78" i="1"/>
  <c r="U104" i="1"/>
  <c r="W104" i="1"/>
  <c r="S104" i="1"/>
  <c r="R104" i="1"/>
  <c r="V104" i="1"/>
  <c r="AJ104" i="1"/>
  <c r="T104" i="1"/>
  <c r="T11" i="3"/>
  <c r="T107" i="3" s="1"/>
  <c r="R11" i="3"/>
  <c r="R107" i="3" s="1"/>
  <c r="X99" i="3"/>
  <c r="Z99" i="3"/>
  <c r="Y99" i="3"/>
  <c r="Z7" i="1"/>
  <c r="X7" i="1"/>
  <c r="Y7" i="1"/>
  <c r="X101" i="3"/>
  <c r="Y101" i="3"/>
  <c r="Z101" i="3"/>
  <c r="X86" i="3"/>
  <c r="Z86" i="3"/>
  <c r="Y86" i="3"/>
  <c r="Y93" i="1"/>
  <c r="Y125" i="1" s="1"/>
  <c r="Z93" i="1"/>
  <c r="X93" i="1"/>
  <c r="X125" i="1" s="1"/>
  <c r="Z90" i="1"/>
  <c r="X90" i="1"/>
  <c r="Y90" i="1"/>
  <c r="X95" i="3"/>
  <c r="Z95" i="3"/>
  <c r="Y95" i="3"/>
  <c r="S75" i="3"/>
  <c r="S103" i="1"/>
  <c r="Z53" i="1"/>
  <c r="Z29" i="1" s="1"/>
  <c r="Y53" i="1"/>
  <c r="Y29" i="1" s="1"/>
  <c r="X53" i="1"/>
  <c r="Y55" i="1"/>
  <c r="X55" i="1"/>
  <c r="Z55" i="1"/>
  <c r="X92" i="3"/>
  <c r="Z92" i="3"/>
  <c r="Y92" i="3"/>
  <c r="X87" i="1"/>
  <c r="Z87" i="1"/>
  <c r="Y87" i="1"/>
  <c r="Z87" i="3"/>
  <c r="Y87" i="3"/>
  <c r="Y121" i="3" s="1"/>
  <c r="X87" i="3"/>
  <c r="X51" i="3"/>
  <c r="Y51" i="3"/>
  <c r="Z51" i="3"/>
  <c r="Y96" i="1"/>
  <c r="X96" i="1"/>
  <c r="Z96" i="1"/>
  <c r="S78" i="1"/>
  <c r="X81" i="1"/>
  <c r="Y81" i="1"/>
  <c r="Z81" i="1"/>
  <c r="X92" i="1"/>
  <c r="Z92" i="1"/>
  <c r="Y92" i="1"/>
  <c r="X105" i="1"/>
  <c r="Y105" i="1"/>
  <c r="Z105" i="1"/>
  <c r="Y53" i="3"/>
  <c r="Y127" i="3" s="1"/>
  <c r="Z53" i="3"/>
  <c r="Z127" i="3" s="1"/>
  <c r="X53" i="3"/>
  <c r="X127" i="3" s="1"/>
  <c r="W103" i="1"/>
  <c r="R78" i="1"/>
  <c r="Y74" i="3"/>
  <c r="Z74" i="3"/>
  <c r="X74" i="3"/>
  <c r="X52" i="1"/>
  <c r="Z52" i="1"/>
  <c r="Z28" i="1" s="1"/>
  <c r="Y52" i="1"/>
  <c r="Z95" i="1"/>
  <c r="Y95" i="1"/>
  <c r="X95" i="1"/>
  <c r="X97" i="1"/>
  <c r="Y97" i="1"/>
  <c r="Z97" i="1"/>
  <c r="Z85" i="3"/>
  <c r="Y85" i="3"/>
  <c r="X85" i="3"/>
  <c r="T103" i="1"/>
  <c r="W78" i="1"/>
  <c r="U9" i="1"/>
  <c r="AJ9" i="1"/>
  <c r="R9" i="1"/>
  <c r="S9" i="1"/>
  <c r="V9" i="1"/>
  <c r="T9" i="1"/>
  <c r="W9" i="1"/>
  <c r="Y80" i="3"/>
  <c r="X80" i="3"/>
  <c r="Z80" i="3"/>
  <c r="X103" i="3"/>
  <c r="Y103" i="3"/>
  <c r="Z103" i="3"/>
  <c r="W11" i="3"/>
  <c r="W107" i="3" s="1"/>
  <c r="V11" i="3"/>
  <c r="V107" i="3" s="1"/>
  <c r="Y23" i="1"/>
  <c r="X23" i="1"/>
  <c r="Z23" i="1"/>
  <c r="X84" i="3"/>
  <c r="Z84" i="3"/>
  <c r="Y84" i="3"/>
  <c r="Y91" i="3"/>
  <c r="X91" i="3"/>
  <c r="Z91" i="3"/>
  <c r="Z84" i="1"/>
  <c r="Y84" i="1"/>
  <c r="X84" i="1"/>
  <c r="U103" i="1"/>
  <c r="V78" i="1"/>
  <c r="W79" i="3"/>
  <c r="X121" i="3"/>
  <c r="U79" i="3"/>
  <c r="S79" i="3"/>
  <c r="R79" i="3"/>
  <c r="V79" i="3"/>
  <c r="AJ79" i="3"/>
  <c r="T79" i="3"/>
  <c r="S11" i="3"/>
  <c r="S107" i="3" s="1"/>
  <c r="U11" i="3"/>
  <c r="U107" i="3" s="1"/>
  <c r="S7" i="3"/>
  <c r="V7" i="3"/>
  <c r="R7" i="3"/>
  <c r="AJ7" i="3"/>
  <c r="W7" i="3"/>
  <c r="U7" i="3"/>
  <c r="T7" i="3"/>
  <c r="X88" i="1"/>
  <c r="Y88" i="1"/>
  <c r="Z88" i="1"/>
  <c r="U75" i="3"/>
  <c r="U78" i="1"/>
  <c r="W75" i="3"/>
  <c r="Y6" i="1"/>
  <c r="Z6" i="1"/>
  <c r="X6" i="1"/>
  <c r="X21" i="1"/>
  <c r="Y21" i="1"/>
  <c r="Z21" i="1"/>
  <c r="Y3" i="3"/>
  <c r="Y125" i="3" s="1"/>
  <c r="Z3" i="3"/>
  <c r="X3" i="3"/>
  <c r="Y94" i="3"/>
  <c r="X94" i="3"/>
  <c r="Z94" i="3"/>
  <c r="Y91" i="1"/>
  <c r="Z91" i="1"/>
  <c r="X91" i="1"/>
  <c r="X86" i="1"/>
  <c r="Y86" i="1"/>
  <c r="Z86" i="1"/>
  <c r="Z50" i="3"/>
  <c r="X50" i="3"/>
  <c r="Y50" i="3"/>
  <c r="Y6" i="3"/>
  <c r="Z6" i="3"/>
  <c r="X6" i="3"/>
  <c r="X93" i="3"/>
  <c r="Z93" i="3"/>
  <c r="Y93" i="3"/>
  <c r="Z80" i="1"/>
  <c r="X80" i="1"/>
  <c r="Y80" i="1"/>
  <c r="Z3" i="1"/>
  <c r="Z131" i="1" s="1"/>
  <c r="X3" i="1"/>
  <c r="Y3" i="1"/>
  <c r="X88" i="3"/>
  <c r="Y88" i="3"/>
  <c r="Z88" i="3"/>
  <c r="X54" i="3"/>
  <c r="Y54" i="3"/>
  <c r="Z54" i="3"/>
  <c r="Z8" i="3"/>
  <c r="Y8" i="3"/>
  <c r="X8" i="3"/>
  <c r="V76" i="1"/>
  <c r="T5" i="1"/>
  <c r="X76" i="3"/>
  <c r="Z76" i="3"/>
  <c r="Y76" i="3"/>
  <c r="AJ75" i="1"/>
  <c r="V75" i="1"/>
  <c r="U75" i="1"/>
  <c r="R75" i="1"/>
  <c r="W75" i="1"/>
  <c r="T75" i="1"/>
  <c r="S75" i="1"/>
  <c r="Y74" i="1"/>
  <c r="Z74" i="1"/>
  <c r="X74" i="1"/>
  <c r="Z51" i="1"/>
  <c r="Y51" i="1"/>
  <c r="X51" i="1"/>
  <c r="W100" i="3"/>
  <c r="S100" i="3"/>
  <c r="AJ100" i="3"/>
  <c r="V100" i="3"/>
  <c r="U100" i="3"/>
  <c r="R100" i="3"/>
  <c r="T100" i="3"/>
  <c r="Z83" i="3"/>
  <c r="Z117" i="3" s="1"/>
  <c r="X83" i="3"/>
  <c r="Y83" i="3"/>
  <c r="Y2" i="3"/>
  <c r="X2" i="3"/>
  <c r="Z2" i="3"/>
  <c r="S5" i="1"/>
  <c r="Z21" i="3"/>
  <c r="Y21" i="3"/>
  <c r="X21" i="3"/>
  <c r="S77" i="1"/>
  <c r="AJ77" i="1"/>
  <c r="V77" i="1"/>
  <c r="R77" i="1"/>
  <c r="U77" i="1"/>
  <c r="W77" i="1"/>
  <c r="T77" i="1"/>
  <c r="X81" i="3"/>
  <c r="Z81" i="3"/>
  <c r="Y81" i="3"/>
  <c r="Z57" i="1"/>
  <c r="Z33" i="1" s="1"/>
  <c r="Y57" i="1"/>
  <c r="Y33" i="1" s="1"/>
  <c r="X57" i="1"/>
  <c r="X102" i="3"/>
  <c r="Y102" i="3"/>
  <c r="Z102" i="3"/>
  <c r="W76" i="1"/>
  <c r="R5" i="1"/>
  <c r="T23" i="3"/>
  <c r="V23" i="3"/>
  <c r="AJ23" i="3"/>
  <c r="W23" i="3"/>
  <c r="U23" i="3"/>
  <c r="S23" i="3"/>
  <c r="R23" i="3"/>
  <c r="Y31" i="1" l="1"/>
  <c r="Z136" i="1"/>
  <c r="Y124" i="1"/>
  <c r="Y28" i="1"/>
  <c r="Y126" i="1"/>
  <c r="Z126" i="1"/>
  <c r="Y130" i="3"/>
  <c r="Z133" i="1"/>
  <c r="Z130" i="3"/>
  <c r="Z125" i="3"/>
  <c r="Y117" i="3"/>
  <c r="Z124" i="1"/>
  <c r="Y123" i="1"/>
  <c r="X123" i="1"/>
  <c r="Y137" i="1"/>
  <c r="X119" i="3"/>
  <c r="Y119" i="3"/>
  <c r="Z119" i="3"/>
  <c r="Z125" i="1"/>
  <c r="Y131" i="1"/>
  <c r="Z30" i="1"/>
  <c r="Y30" i="1"/>
  <c r="Z135" i="1"/>
  <c r="Y127" i="1"/>
  <c r="Z120" i="3"/>
  <c r="Z128" i="3"/>
  <c r="Y133" i="1"/>
  <c r="Z127" i="1"/>
  <c r="Y114" i="1"/>
  <c r="Y121" i="1" s="1"/>
  <c r="X114" i="1"/>
  <c r="X121" i="1" s="1"/>
  <c r="Z129" i="1"/>
  <c r="Y129" i="1"/>
  <c r="X135" i="1"/>
  <c r="T7" i="1"/>
  <c r="V7" i="1"/>
  <c r="U7" i="1"/>
  <c r="AJ7" i="1"/>
  <c r="W7" i="1"/>
  <c r="S7" i="1"/>
  <c r="R7" i="1"/>
  <c r="AJ102" i="1"/>
  <c r="V102" i="1"/>
  <c r="W102" i="1"/>
  <c r="S102" i="1"/>
  <c r="R102" i="1"/>
  <c r="T102" i="1"/>
  <c r="U102" i="1"/>
  <c r="S89" i="1"/>
  <c r="AJ89" i="1"/>
  <c r="T89" i="1"/>
  <c r="V89" i="1"/>
  <c r="W89" i="1"/>
  <c r="U89" i="1"/>
  <c r="R89" i="1"/>
  <c r="X136" i="1"/>
  <c r="R8" i="1"/>
  <c r="AJ8" i="1"/>
  <c r="U8" i="1"/>
  <c r="V8" i="1"/>
  <c r="T8" i="1"/>
  <c r="W8" i="1"/>
  <c r="S8" i="1"/>
  <c r="T89" i="3"/>
  <c r="R89" i="3"/>
  <c r="AJ89" i="3"/>
  <c r="V89" i="3"/>
  <c r="U89" i="3"/>
  <c r="W89" i="3"/>
  <c r="S89" i="3"/>
  <c r="U94" i="1"/>
  <c r="W94" i="1"/>
  <c r="T94" i="1"/>
  <c r="V94" i="1"/>
  <c r="R94" i="1"/>
  <c r="AJ94" i="1"/>
  <c r="S94" i="1"/>
  <c r="Y128" i="3"/>
  <c r="S54" i="1"/>
  <c r="AJ54" i="1"/>
  <c r="X30" i="1"/>
  <c r="V54" i="1"/>
  <c r="U54" i="1"/>
  <c r="T54" i="1"/>
  <c r="R54" i="1"/>
  <c r="W54" i="1"/>
  <c r="R98" i="1"/>
  <c r="T98" i="1"/>
  <c r="U98" i="1"/>
  <c r="S98" i="1"/>
  <c r="AJ98" i="1"/>
  <c r="W98" i="1"/>
  <c r="V98" i="1"/>
  <c r="Z114" i="1"/>
  <c r="Z121" i="1" s="1"/>
  <c r="R92" i="1"/>
  <c r="S92" i="1"/>
  <c r="T92" i="1"/>
  <c r="U92" i="1"/>
  <c r="AJ92" i="1"/>
  <c r="V92" i="1"/>
  <c r="W92" i="1"/>
  <c r="T56" i="1"/>
  <c r="X32" i="1"/>
  <c r="V56" i="1"/>
  <c r="W56" i="1"/>
  <c r="R56" i="1"/>
  <c r="AJ56" i="1"/>
  <c r="S56" i="1"/>
  <c r="U56" i="1"/>
  <c r="W83" i="3"/>
  <c r="V83" i="3"/>
  <c r="R83" i="3"/>
  <c r="AJ83" i="3"/>
  <c r="S83" i="3"/>
  <c r="T83" i="3"/>
  <c r="U83" i="3"/>
  <c r="X117" i="3"/>
  <c r="Y110" i="3"/>
  <c r="Z116" i="3"/>
  <c r="Z111" i="3"/>
  <c r="W81" i="1"/>
  <c r="AJ81" i="1"/>
  <c r="X129" i="1"/>
  <c r="T81" i="1"/>
  <c r="U81" i="1"/>
  <c r="S81" i="1"/>
  <c r="R81" i="1"/>
  <c r="V81" i="1"/>
  <c r="U92" i="3"/>
  <c r="S92" i="3"/>
  <c r="W92" i="3"/>
  <c r="R92" i="3"/>
  <c r="V92" i="3"/>
  <c r="AJ92" i="3"/>
  <c r="T92" i="3"/>
  <c r="Z119" i="1"/>
  <c r="V55" i="3"/>
  <c r="V129" i="3" s="1"/>
  <c r="T55" i="3"/>
  <c r="T129" i="3" s="1"/>
  <c r="W55" i="3"/>
  <c r="W129" i="3" s="1"/>
  <c r="S55" i="3"/>
  <c r="S129" i="3" s="1"/>
  <c r="R55" i="3"/>
  <c r="R129" i="3" s="1"/>
  <c r="AJ55" i="3"/>
  <c r="AJ129" i="3" s="1"/>
  <c r="U55" i="3"/>
  <c r="R4" i="3"/>
  <c r="AJ4" i="3"/>
  <c r="V4" i="3"/>
  <c r="S4" i="3"/>
  <c r="X126" i="3"/>
  <c r="U4" i="3"/>
  <c r="T4" i="3"/>
  <c r="W4" i="3"/>
  <c r="Y32" i="1"/>
  <c r="W54" i="3"/>
  <c r="V54" i="3"/>
  <c r="T54" i="3"/>
  <c r="AJ54" i="3"/>
  <c r="U54" i="3"/>
  <c r="R54" i="3"/>
  <c r="S54" i="3"/>
  <c r="T21" i="1"/>
  <c r="R21" i="1"/>
  <c r="U21" i="1"/>
  <c r="V21" i="1"/>
  <c r="S21" i="1"/>
  <c r="W21" i="1"/>
  <c r="AJ21" i="1"/>
  <c r="AJ114" i="1" s="1"/>
  <c r="AJ121" i="1" s="1"/>
  <c r="Z134" i="1"/>
  <c r="W84" i="1"/>
  <c r="S84" i="1"/>
  <c r="U84" i="1"/>
  <c r="V84" i="1"/>
  <c r="AJ84" i="1"/>
  <c r="T84" i="1"/>
  <c r="R84" i="1"/>
  <c r="X124" i="1"/>
  <c r="Y111" i="3"/>
  <c r="Y116" i="3"/>
  <c r="Z31" i="1"/>
  <c r="V93" i="1"/>
  <c r="W93" i="1"/>
  <c r="AJ93" i="1"/>
  <c r="S93" i="1"/>
  <c r="T93" i="1"/>
  <c r="U93" i="1"/>
  <c r="R93" i="1"/>
  <c r="T85" i="1"/>
  <c r="R85" i="1"/>
  <c r="S85" i="1"/>
  <c r="U85" i="1"/>
  <c r="V85" i="1"/>
  <c r="W85" i="1"/>
  <c r="AJ85" i="1"/>
  <c r="Z126" i="3"/>
  <c r="Z32" i="1"/>
  <c r="AJ9" i="3"/>
  <c r="T9" i="3"/>
  <c r="R9" i="3"/>
  <c r="V9" i="3"/>
  <c r="U9" i="3"/>
  <c r="S9" i="3"/>
  <c r="W9" i="3"/>
  <c r="R56" i="3"/>
  <c r="T56" i="3"/>
  <c r="S56" i="3"/>
  <c r="W56" i="3"/>
  <c r="V56" i="3"/>
  <c r="U56" i="3"/>
  <c r="AJ56" i="3"/>
  <c r="V88" i="3"/>
  <c r="S88" i="3"/>
  <c r="AJ88" i="3"/>
  <c r="R88" i="3"/>
  <c r="T88" i="3"/>
  <c r="U88" i="3"/>
  <c r="W88" i="3"/>
  <c r="U90" i="1"/>
  <c r="T90" i="1"/>
  <c r="S90" i="1"/>
  <c r="R90" i="1"/>
  <c r="W90" i="1"/>
  <c r="AJ90" i="1"/>
  <c r="X119" i="1"/>
  <c r="V90" i="1"/>
  <c r="R102" i="3"/>
  <c r="V102" i="3"/>
  <c r="AJ102" i="3"/>
  <c r="W102" i="3"/>
  <c r="U102" i="3"/>
  <c r="T102" i="3"/>
  <c r="S102" i="3"/>
  <c r="AJ21" i="3"/>
  <c r="T21" i="3"/>
  <c r="V21" i="3"/>
  <c r="S21" i="3"/>
  <c r="W21" i="3"/>
  <c r="R21" i="3"/>
  <c r="U21" i="3"/>
  <c r="Y118" i="3"/>
  <c r="X131" i="1"/>
  <c r="W3" i="1"/>
  <c r="R3" i="1"/>
  <c r="V3" i="1"/>
  <c r="AJ3" i="1"/>
  <c r="U3" i="1"/>
  <c r="S3" i="1"/>
  <c r="T3" i="1"/>
  <c r="Y134" i="1"/>
  <c r="S85" i="3"/>
  <c r="T85" i="3"/>
  <c r="U85" i="3"/>
  <c r="AJ85" i="3"/>
  <c r="V85" i="3"/>
  <c r="R85" i="3"/>
  <c r="W85" i="3"/>
  <c r="Z137" i="1"/>
  <c r="X31" i="1"/>
  <c r="T55" i="1"/>
  <c r="R55" i="1"/>
  <c r="S55" i="1"/>
  <c r="AJ55" i="1"/>
  <c r="V55" i="1"/>
  <c r="W55" i="1"/>
  <c r="U55" i="1"/>
  <c r="X118" i="1"/>
  <c r="T82" i="1"/>
  <c r="U82" i="1"/>
  <c r="W82" i="1"/>
  <c r="V82" i="1"/>
  <c r="S82" i="1"/>
  <c r="R82" i="1"/>
  <c r="AJ82" i="1"/>
  <c r="Y126" i="3"/>
  <c r="Y120" i="3"/>
  <c r="Y118" i="1"/>
  <c r="S98" i="3"/>
  <c r="V98" i="3"/>
  <c r="R98" i="3"/>
  <c r="W98" i="3"/>
  <c r="AJ98" i="3"/>
  <c r="U98" i="3"/>
  <c r="T98" i="3"/>
  <c r="U106" i="1"/>
  <c r="AJ106" i="1"/>
  <c r="W106" i="1"/>
  <c r="T106" i="1"/>
  <c r="S106" i="1"/>
  <c r="R106" i="1"/>
  <c r="V106" i="1"/>
  <c r="Y113" i="3"/>
  <c r="S87" i="1"/>
  <c r="AJ87" i="1"/>
  <c r="R87" i="1"/>
  <c r="V87" i="1"/>
  <c r="U87" i="1"/>
  <c r="W87" i="1"/>
  <c r="T87" i="1"/>
  <c r="S99" i="3"/>
  <c r="AJ99" i="3"/>
  <c r="R99" i="3"/>
  <c r="V99" i="3"/>
  <c r="W99" i="3"/>
  <c r="T99" i="3"/>
  <c r="U99" i="3"/>
  <c r="AJ76" i="3"/>
  <c r="R76" i="3"/>
  <c r="S76" i="3"/>
  <c r="T76" i="3"/>
  <c r="W76" i="3"/>
  <c r="X118" i="3"/>
  <c r="U76" i="3"/>
  <c r="V76" i="3"/>
  <c r="W91" i="1"/>
  <c r="R91" i="1"/>
  <c r="U91" i="1"/>
  <c r="S91" i="1"/>
  <c r="T91" i="1"/>
  <c r="V91" i="1"/>
  <c r="AJ91" i="1"/>
  <c r="Z122" i="3"/>
  <c r="V53" i="1"/>
  <c r="AJ53" i="1"/>
  <c r="X29" i="1"/>
  <c r="T53" i="1"/>
  <c r="T29" i="1" s="1"/>
  <c r="S53" i="1"/>
  <c r="S29" i="1" s="1"/>
  <c r="U53" i="1"/>
  <c r="U29" i="1" s="1"/>
  <c r="W53" i="1"/>
  <c r="W29" i="1" s="1"/>
  <c r="R53" i="1"/>
  <c r="R29" i="1" s="1"/>
  <c r="X133" i="1"/>
  <c r="Z118" i="1"/>
  <c r="X127" i="1"/>
  <c r="AJ96" i="3"/>
  <c r="T96" i="3"/>
  <c r="W96" i="3"/>
  <c r="R96" i="3"/>
  <c r="U96" i="3"/>
  <c r="S96" i="3"/>
  <c r="V96" i="3"/>
  <c r="W78" i="3"/>
  <c r="X120" i="3"/>
  <c r="V78" i="3"/>
  <c r="AJ78" i="3"/>
  <c r="S78" i="3"/>
  <c r="T78" i="3"/>
  <c r="U78" i="3"/>
  <c r="R78" i="3"/>
  <c r="Z113" i="3"/>
  <c r="T6" i="3"/>
  <c r="V6" i="3"/>
  <c r="U6" i="3"/>
  <c r="X128" i="3"/>
  <c r="AJ6" i="3"/>
  <c r="S6" i="3"/>
  <c r="W6" i="3"/>
  <c r="W128" i="3" s="1"/>
  <c r="R6" i="3"/>
  <c r="S23" i="1"/>
  <c r="V23" i="1"/>
  <c r="U23" i="1"/>
  <c r="T23" i="1"/>
  <c r="AJ23" i="1"/>
  <c r="R23" i="1"/>
  <c r="W23" i="1"/>
  <c r="X116" i="3"/>
  <c r="X111" i="3"/>
  <c r="T74" i="3"/>
  <c r="U74" i="3"/>
  <c r="V74" i="3"/>
  <c r="R74" i="3"/>
  <c r="S74" i="3"/>
  <c r="W74" i="3"/>
  <c r="AJ74" i="3"/>
  <c r="T96" i="1"/>
  <c r="W96" i="1"/>
  <c r="AJ96" i="1"/>
  <c r="V96" i="1"/>
  <c r="U96" i="1"/>
  <c r="S96" i="1"/>
  <c r="R96" i="1"/>
  <c r="T51" i="1"/>
  <c r="U51" i="1"/>
  <c r="R51" i="1"/>
  <c r="W51" i="1"/>
  <c r="X27" i="1"/>
  <c r="V51" i="1"/>
  <c r="AJ51" i="1"/>
  <c r="S51" i="1"/>
  <c r="Y27" i="1"/>
  <c r="Y128" i="1"/>
  <c r="T91" i="3"/>
  <c r="W91" i="3"/>
  <c r="W117" i="3" s="1"/>
  <c r="U91" i="3"/>
  <c r="S91" i="3"/>
  <c r="S117" i="3" s="1"/>
  <c r="V91" i="3"/>
  <c r="R91" i="3"/>
  <c r="AJ91" i="3"/>
  <c r="X122" i="3"/>
  <c r="U80" i="3"/>
  <c r="S80" i="3"/>
  <c r="R80" i="3"/>
  <c r="T80" i="3"/>
  <c r="AJ80" i="3"/>
  <c r="W80" i="3"/>
  <c r="V80" i="3"/>
  <c r="R53" i="3"/>
  <c r="R127" i="3" s="1"/>
  <c r="W53" i="3"/>
  <c r="W127" i="3" s="1"/>
  <c r="AJ53" i="3"/>
  <c r="AJ127" i="3" s="1"/>
  <c r="S53" i="3"/>
  <c r="S127" i="3" s="1"/>
  <c r="V53" i="3"/>
  <c r="V127" i="3" s="1"/>
  <c r="U53" i="3"/>
  <c r="U127" i="3" s="1"/>
  <c r="T53" i="3"/>
  <c r="T127" i="3" s="1"/>
  <c r="Z26" i="1"/>
  <c r="Z116" i="1"/>
  <c r="S4" i="1"/>
  <c r="U4" i="1"/>
  <c r="X132" i="1"/>
  <c r="W4" i="1"/>
  <c r="V4" i="1"/>
  <c r="AJ4" i="1"/>
  <c r="T4" i="1"/>
  <c r="R4" i="1"/>
  <c r="AJ90" i="3"/>
  <c r="T90" i="3"/>
  <c r="S90" i="3"/>
  <c r="R90" i="3"/>
  <c r="W90" i="3"/>
  <c r="X113" i="3"/>
  <c r="U90" i="3"/>
  <c r="V90" i="3"/>
  <c r="X33" i="1"/>
  <c r="V57" i="1"/>
  <c r="V33" i="1" s="1"/>
  <c r="U57" i="1"/>
  <c r="U33" i="1" s="1"/>
  <c r="R57" i="1"/>
  <c r="R33" i="1" s="1"/>
  <c r="W57" i="1"/>
  <c r="W33" i="1" s="1"/>
  <c r="S57" i="1"/>
  <c r="S33" i="1" s="1"/>
  <c r="AJ57" i="1"/>
  <c r="AJ33" i="1" s="1"/>
  <c r="T57" i="1"/>
  <c r="T33" i="1" s="1"/>
  <c r="Y123" i="3"/>
  <c r="Z27" i="1"/>
  <c r="X128" i="1"/>
  <c r="V80" i="1"/>
  <c r="T80" i="1"/>
  <c r="R80" i="1"/>
  <c r="S80" i="1"/>
  <c r="W80" i="1"/>
  <c r="U80" i="1"/>
  <c r="AJ80" i="1"/>
  <c r="Y122" i="3"/>
  <c r="AJ86" i="3"/>
  <c r="W86" i="3"/>
  <c r="S86" i="3"/>
  <c r="T86" i="3"/>
  <c r="V86" i="3"/>
  <c r="U86" i="3"/>
  <c r="R86" i="3"/>
  <c r="Y116" i="1"/>
  <c r="Y26" i="1"/>
  <c r="R97" i="3"/>
  <c r="U97" i="3"/>
  <c r="S97" i="3"/>
  <c r="T97" i="3"/>
  <c r="V97" i="3"/>
  <c r="W97" i="3"/>
  <c r="AJ97" i="3"/>
  <c r="Z132" i="1"/>
  <c r="Z112" i="1"/>
  <c r="Z111" i="1" s="1"/>
  <c r="Z130" i="1"/>
  <c r="Z108" i="3"/>
  <c r="U129" i="3"/>
  <c r="V95" i="3"/>
  <c r="AJ95" i="3"/>
  <c r="R95" i="3"/>
  <c r="S95" i="3"/>
  <c r="T95" i="3"/>
  <c r="U95" i="3"/>
  <c r="W95" i="3"/>
  <c r="Z123" i="3"/>
  <c r="Z124" i="3"/>
  <c r="Z106" i="3"/>
  <c r="S74" i="1"/>
  <c r="AJ74" i="1"/>
  <c r="X117" i="1"/>
  <c r="X122" i="1"/>
  <c r="V74" i="1"/>
  <c r="W74" i="1"/>
  <c r="U74" i="1"/>
  <c r="R74" i="1"/>
  <c r="T74" i="1"/>
  <c r="W8" i="3"/>
  <c r="X130" i="3"/>
  <c r="T8" i="3"/>
  <c r="AJ8" i="3"/>
  <c r="U8" i="3"/>
  <c r="U130" i="3" s="1"/>
  <c r="S8" i="3"/>
  <c r="R8" i="3"/>
  <c r="R130" i="3" s="1"/>
  <c r="V8" i="3"/>
  <c r="Z128" i="1"/>
  <c r="V97" i="1"/>
  <c r="S97" i="1"/>
  <c r="R97" i="1"/>
  <c r="W97" i="1"/>
  <c r="AJ97" i="1"/>
  <c r="U97" i="1"/>
  <c r="T97" i="1"/>
  <c r="S51" i="3"/>
  <c r="AJ51" i="3"/>
  <c r="V51" i="3"/>
  <c r="U51" i="3"/>
  <c r="T51" i="3"/>
  <c r="R51" i="3"/>
  <c r="W51" i="3"/>
  <c r="V50" i="1"/>
  <c r="T50" i="1"/>
  <c r="R50" i="1"/>
  <c r="S50" i="1"/>
  <c r="W50" i="1"/>
  <c r="U50" i="1"/>
  <c r="X26" i="1"/>
  <c r="AJ50" i="1"/>
  <c r="X116" i="1"/>
  <c r="Y132" i="1"/>
  <c r="R2" i="1"/>
  <c r="T2" i="1"/>
  <c r="W2" i="1"/>
  <c r="V2" i="1"/>
  <c r="S2" i="1"/>
  <c r="U2" i="1"/>
  <c r="X130" i="1"/>
  <c r="AJ2" i="1"/>
  <c r="X112" i="1"/>
  <c r="Y108" i="3"/>
  <c r="Y119" i="1"/>
  <c r="V50" i="3"/>
  <c r="R50" i="3"/>
  <c r="S50" i="3"/>
  <c r="AJ50" i="3"/>
  <c r="X110" i="3"/>
  <c r="U50" i="3"/>
  <c r="W50" i="3"/>
  <c r="T50" i="3"/>
  <c r="X134" i="1"/>
  <c r="V6" i="1"/>
  <c r="AJ6" i="1"/>
  <c r="S6" i="1"/>
  <c r="R6" i="1"/>
  <c r="W6" i="1"/>
  <c r="U6" i="1"/>
  <c r="T6" i="1"/>
  <c r="Z118" i="3"/>
  <c r="X123" i="3"/>
  <c r="S81" i="3"/>
  <c r="V81" i="3"/>
  <c r="T81" i="3"/>
  <c r="R81" i="3"/>
  <c r="W81" i="3"/>
  <c r="AJ81" i="3"/>
  <c r="U81" i="3"/>
  <c r="Z117" i="1"/>
  <c r="Z122" i="1"/>
  <c r="R94" i="3"/>
  <c r="W94" i="3"/>
  <c r="V94" i="3"/>
  <c r="AJ94" i="3"/>
  <c r="S94" i="3"/>
  <c r="U94" i="3"/>
  <c r="T94" i="3"/>
  <c r="R95" i="1"/>
  <c r="W95" i="1"/>
  <c r="S95" i="1"/>
  <c r="U95" i="1"/>
  <c r="T95" i="1"/>
  <c r="V95" i="1"/>
  <c r="AJ95" i="1"/>
  <c r="S87" i="3"/>
  <c r="U87" i="3"/>
  <c r="R87" i="3"/>
  <c r="AJ87" i="3"/>
  <c r="V87" i="3"/>
  <c r="T87" i="3"/>
  <c r="W87" i="3"/>
  <c r="W121" i="3" s="1"/>
  <c r="V83" i="1"/>
  <c r="S83" i="1"/>
  <c r="W83" i="1"/>
  <c r="U83" i="1"/>
  <c r="AJ83" i="1"/>
  <c r="T83" i="1"/>
  <c r="R83" i="1"/>
  <c r="Y112" i="3"/>
  <c r="Y130" i="1"/>
  <c r="Y112" i="1"/>
  <c r="U19" i="3"/>
  <c r="S19" i="3"/>
  <c r="AJ19" i="3"/>
  <c r="AJ108" i="3" s="1"/>
  <c r="X108" i="3"/>
  <c r="V19" i="3"/>
  <c r="V108" i="3" s="1"/>
  <c r="R19" i="3"/>
  <c r="W19" i="3"/>
  <c r="T19" i="3"/>
  <c r="T108" i="3" s="1"/>
  <c r="T86" i="1"/>
  <c r="U86" i="1"/>
  <c r="U126" i="1" s="1"/>
  <c r="AJ86" i="1"/>
  <c r="V86" i="1"/>
  <c r="R86" i="1"/>
  <c r="W86" i="1"/>
  <c r="W126" i="1" s="1"/>
  <c r="S86" i="1"/>
  <c r="X126" i="1"/>
  <c r="W103" i="3"/>
  <c r="U103" i="3"/>
  <c r="AJ103" i="3"/>
  <c r="R103" i="3"/>
  <c r="S103" i="3"/>
  <c r="V103" i="3"/>
  <c r="T103" i="3"/>
  <c r="Y106" i="3"/>
  <c r="Y124" i="3"/>
  <c r="Y122" i="1"/>
  <c r="Y117" i="1"/>
  <c r="W88" i="1"/>
  <c r="U88" i="1"/>
  <c r="V88" i="1"/>
  <c r="T88" i="1"/>
  <c r="AJ88" i="1"/>
  <c r="R88" i="1"/>
  <c r="S88" i="1"/>
  <c r="U84" i="3"/>
  <c r="T84" i="3"/>
  <c r="AJ84" i="3"/>
  <c r="W84" i="3"/>
  <c r="S84" i="3"/>
  <c r="V84" i="3"/>
  <c r="R84" i="3"/>
  <c r="X137" i="1"/>
  <c r="R101" i="3"/>
  <c r="T101" i="3"/>
  <c r="AJ101" i="3"/>
  <c r="U101" i="3"/>
  <c r="W101" i="3"/>
  <c r="V101" i="3"/>
  <c r="S101" i="3"/>
  <c r="Z123" i="1"/>
  <c r="Z112" i="3"/>
  <c r="R52" i="1"/>
  <c r="X28" i="1"/>
  <c r="T52" i="1"/>
  <c r="T28" i="1" s="1"/>
  <c r="AJ52" i="1"/>
  <c r="S52" i="1"/>
  <c r="W52" i="1"/>
  <c r="V52" i="1"/>
  <c r="U52" i="1"/>
  <c r="Z110" i="3"/>
  <c r="S2" i="3"/>
  <c r="X106" i="3"/>
  <c r="X124" i="3"/>
  <c r="W2" i="3"/>
  <c r="R2" i="3"/>
  <c r="T2" i="3"/>
  <c r="U2" i="3"/>
  <c r="AJ2" i="3"/>
  <c r="V2" i="3"/>
  <c r="AJ93" i="3"/>
  <c r="AJ119" i="3" s="1"/>
  <c r="U93" i="3"/>
  <c r="T93" i="3"/>
  <c r="R93" i="3"/>
  <c r="W93" i="3"/>
  <c r="S93" i="3"/>
  <c r="V93" i="3"/>
  <c r="R3" i="3"/>
  <c r="X125" i="3"/>
  <c r="AJ3" i="3"/>
  <c r="U3" i="3"/>
  <c r="U125" i="3" s="1"/>
  <c r="T3" i="3"/>
  <c r="T125" i="3" s="1"/>
  <c r="W3" i="3"/>
  <c r="V3" i="3"/>
  <c r="V125" i="3" s="1"/>
  <c r="S3" i="3"/>
  <c r="V137" i="1"/>
  <c r="W105" i="1"/>
  <c r="AJ105" i="1"/>
  <c r="V105" i="1"/>
  <c r="T105" i="1"/>
  <c r="S105" i="1"/>
  <c r="R105" i="1"/>
  <c r="U105" i="1"/>
  <c r="Z121" i="3"/>
  <c r="Y135" i="1"/>
  <c r="X112" i="3"/>
  <c r="AJ82" i="3"/>
  <c r="T82" i="3"/>
  <c r="U82" i="3"/>
  <c r="R82" i="3"/>
  <c r="V82" i="3"/>
  <c r="W82" i="3"/>
  <c r="S82" i="3"/>
  <c r="AJ52" i="3"/>
  <c r="R52" i="3"/>
  <c r="S52" i="3"/>
  <c r="U52" i="3"/>
  <c r="W52" i="3"/>
  <c r="T52" i="3"/>
  <c r="V52" i="3"/>
  <c r="R31" i="1" l="1"/>
  <c r="S134" i="1"/>
  <c r="R124" i="1"/>
  <c r="AJ134" i="1"/>
  <c r="S28" i="1"/>
  <c r="S123" i="1"/>
  <c r="T126" i="1"/>
  <c r="V123" i="1"/>
  <c r="S31" i="1"/>
  <c r="U114" i="1"/>
  <c r="U121" i="1" s="1"/>
  <c r="AJ28" i="1"/>
  <c r="V114" i="1"/>
  <c r="V121" i="1" s="1"/>
  <c r="T31" i="1"/>
  <c r="U134" i="1"/>
  <c r="T133" i="1"/>
  <c r="V134" i="1"/>
  <c r="AJ127" i="1"/>
  <c r="R127" i="1"/>
  <c r="T114" i="1"/>
  <c r="T121" i="1" s="1"/>
  <c r="S114" i="1"/>
  <c r="S121" i="1" s="1"/>
  <c r="S121" i="3"/>
  <c r="R28" i="1"/>
  <c r="T134" i="1"/>
  <c r="W134" i="1"/>
  <c r="AJ31" i="1"/>
  <c r="AJ123" i="3"/>
  <c r="AJ130" i="3"/>
  <c r="U28" i="1"/>
  <c r="U127" i="1"/>
  <c r="W28" i="1"/>
  <c r="AJ123" i="1"/>
  <c r="V28" i="1"/>
  <c r="U117" i="3"/>
  <c r="V121" i="3"/>
  <c r="AJ121" i="3"/>
  <c r="W133" i="1"/>
  <c r="Y111" i="1"/>
  <c r="S125" i="1"/>
  <c r="T125" i="1"/>
  <c r="W114" i="1"/>
  <c r="W121" i="1" s="1"/>
  <c r="W124" i="1"/>
  <c r="W31" i="1"/>
  <c r="S108" i="3"/>
  <c r="R134" i="1"/>
  <c r="V122" i="3"/>
  <c r="AJ125" i="3"/>
  <c r="R121" i="3"/>
  <c r="Z109" i="3"/>
  <c r="V126" i="1"/>
  <c r="T123" i="1"/>
  <c r="R123" i="3"/>
  <c r="R27" i="1"/>
  <c r="V128" i="3"/>
  <c r="U125" i="1"/>
  <c r="T124" i="1"/>
  <c r="S32" i="1"/>
  <c r="V136" i="1"/>
  <c r="U119" i="3"/>
  <c r="T27" i="1"/>
  <c r="R125" i="1"/>
  <c r="V124" i="1"/>
  <c r="U133" i="1"/>
  <c r="S126" i="1"/>
  <c r="Z110" i="1"/>
  <c r="S130" i="3"/>
  <c r="U108" i="3"/>
  <c r="W112" i="3"/>
  <c r="R119" i="3"/>
  <c r="R126" i="1"/>
  <c r="V112" i="3"/>
  <c r="R123" i="1"/>
  <c r="S27" i="1"/>
  <c r="V130" i="3"/>
  <c r="R112" i="3"/>
  <c r="AJ126" i="1"/>
  <c r="T130" i="3"/>
  <c r="R128" i="3"/>
  <c r="T32" i="1"/>
  <c r="U123" i="1"/>
  <c r="W130" i="3"/>
  <c r="W123" i="1"/>
  <c r="AJ128" i="3"/>
  <c r="R133" i="1"/>
  <c r="W108" i="3"/>
  <c r="AJ112" i="3"/>
  <c r="R108" i="3"/>
  <c r="U128" i="3"/>
  <c r="R114" i="1"/>
  <c r="R121" i="1" s="1"/>
  <c r="U112" i="3"/>
  <c r="AJ125" i="1"/>
  <c r="V119" i="3"/>
  <c r="T121" i="3"/>
  <c r="T128" i="3"/>
  <c r="AJ113" i="3"/>
  <c r="W125" i="1"/>
  <c r="W119" i="3"/>
  <c r="V125" i="1"/>
  <c r="W125" i="3"/>
  <c r="T137" i="1"/>
  <c r="T127" i="1"/>
  <c r="AJ124" i="1"/>
  <c r="R110" i="3"/>
  <c r="AJ122" i="3"/>
  <c r="W127" i="1"/>
  <c r="V110" i="3"/>
  <c r="X115" i="1"/>
  <c r="AJ27" i="1"/>
  <c r="U136" i="1"/>
  <c r="V27" i="1"/>
  <c r="V127" i="1"/>
  <c r="T119" i="3"/>
  <c r="S124" i="1"/>
  <c r="W32" i="1"/>
  <c r="AJ136" i="1"/>
  <c r="S119" i="3"/>
  <c r="R136" i="1"/>
  <c r="W27" i="1"/>
  <c r="U31" i="1"/>
  <c r="S127" i="1"/>
  <c r="U121" i="3"/>
  <c r="U27" i="1"/>
  <c r="V31" i="1"/>
  <c r="T113" i="3"/>
  <c r="T111" i="3"/>
  <c r="T116" i="3"/>
  <c r="V29" i="1"/>
  <c r="V133" i="1"/>
  <c r="AJ118" i="3"/>
  <c r="T118" i="1"/>
  <c r="S119" i="1"/>
  <c r="S126" i="3"/>
  <c r="T119" i="1"/>
  <c r="V126" i="3"/>
  <c r="T117" i="3"/>
  <c r="AJ26" i="1"/>
  <c r="AJ116" i="1"/>
  <c r="U119" i="1"/>
  <c r="AJ126" i="3"/>
  <c r="W30" i="1"/>
  <c r="T122" i="1"/>
  <c r="T117" i="1"/>
  <c r="AJ128" i="1"/>
  <c r="R132" i="1"/>
  <c r="T131" i="1"/>
  <c r="R126" i="3"/>
  <c r="AJ117" i="3"/>
  <c r="R30" i="1"/>
  <c r="U116" i="1"/>
  <c r="U26" i="1"/>
  <c r="R122" i="1"/>
  <c r="R117" i="1"/>
  <c r="U128" i="1"/>
  <c r="T132" i="1"/>
  <c r="S131" i="1"/>
  <c r="V129" i="1"/>
  <c r="R117" i="3"/>
  <c r="T30" i="1"/>
  <c r="S106" i="3"/>
  <c r="S124" i="3"/>
  <c r="X111" i="1"/>
  <c r="W26" i="1"/>
  <c r="W116" i="1"/>
  <c r="U122" i="1"/>
  <c r="U117" i="1"/>
  <c r="W128" i="1"/>
  <c r="AJ132" i="1"/>
  <c r="U131" i="1"/>
  <c r="R129" i="1"/>
  <c r="V117" i="3"/>
  <c r="U30" i="1"/>
  <c r="T112" i="3"/>
  <c r="AJ112" i="1"/>
  <c r="AJ130" i="1"/>
  <c r="S26" i="1"/>
  <c r="S116" i="1"/>
  <c r="W122" i="1"/>
  <c r="W117" i="1"/>
  <c r="S128" i="1"/>
  <c r="V132" i="1"/>
  <c r="AJ131" i="1"/>
  <c r="S129" i="1"/>
  <c r="V30" i="1"/>
  <c r="R26" i="1"/>
  <c r="R116" i="1"/>
  <c r="V117" i="1"/>
  <c r="V122" i="1"/>
  <c r="R128" i="1"/>
  <c r="W132" i="1"/>
  <c r="W122" i="3"/>
  <c r="R120" i="3"/>
  <c r="V131" i="1"/>
  <c r="U124" i="1"/>
  <c r="U129" i="1"/>
  <c r="U32" i="1"/>
  <c r="U130" i="1"/>
  <c r="U112" i="1"/>
  <c r="U111" i="1" s="1"/>
  <c r="T116" i="1"/>
  <c r="T26" i="1"/>
  <c r="W137" i="1"/>
  <c r="Y115" i="1"/>
  <c r="T128" i="1"/>
  <c r="U120" i="3"/>
  <c r="R131" i="1"/>
  <c r="T129" i="1"/>
  <c r="AJ30" i="1"/>
  <c r="R135" i="1"/>
  <c r="Y110" i="1"/>
  <c r="V106" i="3"/>
  <c r="V124" i="3"/>
  <c r="U123" i="3"/>
  <c r="S130" i="1"/>
  <c r="S112" i="1"/>
  <c r="V26" i="1"/>
  <c r="V116" i="1"/>
  <c r="X110" i="1"/>
  <c r="V128" i="1"/>
  <c r="S137" i="1"/>
  <c r="U132" i="1"/>
  <c r="T122" i="3"/>
  <c r="S133" i="1"/>
  <c r="T120" i="3"/>
  <c r="V118" i="3"/>
  <c r="W131" i="1"/>
  <c r="AJ32" i="1"/>
  <c r="S30" i="1"/>
  <c r="S135" i="1"/>
  <c r="AJ106" i="3"/>
  <c r="AJ124" i="3"/>
  <c r="T110" i="3"/>
  <c r="V130" i="1"/>
  <c r="V112" i="1"/>
  <c r="AJ122" i="1"/>
  <c r="AJ117" i="1"/>
  <c r="V113" i="3"/>
  <c r="S132" i="1"/>
  <c r="R122" i="3"/>
  <c r="AJ116" i="3"/>
  <c r="AJ111" i="3"/>
  <c r="S120" i="3"/>
  <c r="U118" i="3"/>
  <c r="AJ118" i="1"/>
  <c r="U137" i="1"/>
  <c r="AJ129" i="1"/>
  <c r="R32" i="1"/>
  <c r="W135" i="1"/>
  <c r="W123" i="3"/>
  <c r="W110" i="3"/>
  <c r="W130" i="1"/>
  <c r="W112" i="1"/>
  <c r="S122" i="1"/>
  <c r="S117" i="1"/>
  <c r="U113" i="3"/>
  <c r="S122" i="3"/>
  <c r="W111" i="3"/>
  <c r="W116" i="3"/>
  <c r="AJ120" i="3"/>
  <c r="R118" i="1"/>
  <c r="V119" i="1"/>
  <c r="AJ137" i="1"/>
  <c r="W129" i="1"/>
  <c r="AJ135" i="1"/>
  <c r="U110" i="3"/>
  <c r="T130" i="1"/>
  <c r="T112" i="1"/>
  <c r="U122" i="3"/>
  <c r="S111" i="3"/>
  <c r="S116" i="3"/>
  <c r="V120" i="3"/>
  <c r="W118" i="3"/>
  <c r="S118" i="1"/>
  <c r="R137" i="1"/>
  <c r="W126" i="3"/>
  <c r="V32" i="1"/>
  <c r="U135" i="1"/>
  <c r="S125" i="3"/>
  <c r="T124" i="3"/>
  <c r="T106" i="3"/>
  <c r="R106" i="3"/>
  <c r="R109" i="3" s="1"/>
  <c r="R124" i="3"/>
  <c r="T123" i="3"/>
  <c r="X109" i="3"/>
  <c r="R112" i="1"/>
  <c r="R130" i="1"/>
  <c r="W113" i="3"/>
  <c r="Z115" i="1"/>
  <c r="R111" i="3"/>
  <c r="R116" i="3"/>
  <c r="T118" i="3"/>
  <c r="V118" i="1"/>
  <c r="AJ119" i="1"/>
  <c r="T126" i="3"/>
  <c r="S136" i="1"/>
  <c r="V135" i="1"/>
  <c r="U106" i="3"/>
  <c r="U124" i="3"/>
  <c r="W106" i="3"/>
  <c r="W124" i="3"/>
  <c r="V123" i="3"/>
  <c r="AJ110" i="3"/>
  <c r="R113" i="3"/>
  <c r="V116" i="3"/>
  <c r="V111" i="3"/>
  <c r="W120" i="3"/>
  <c r="S118" i="3"/>
  <c r="W118" i="1"/>
  <c r="W119" i="1"/>
  <c r="U126" i="3"/>
  <c r="Y109" i="3"/>
  <c r="W136" i="1"/>
  <c r="T135" i="1"/>
  <c r="S112" i="3"/>
  <c r="R125" i="3"/>
  <c r="S123" i="3"/>
  <c r="S110" i="3"/>
  <c r="S113" i="3"/>
  <c r="U116" i="3"/>
  <c r="U111" i="3"/>
  <c r="S128" i="3"/>
  <c r="AJ29" i="1"/>
  <c r="AJ133" i="1"/>
  <c r="R118" i="3"/>
  <c r="U118" i="1"/>
  <c r="R119" i="1"/>
  <c r="T136" i="1"/>
  <c r="V111" i="1" l="1"/>
  <c r="S111" i="1"/>
  <c r="W111" i="1"/>
  <c r="AJ110" i="1"/>
  <c r="V110" i="1"/>
  <c r="V109" i="3"/>
  <c r="T111" i="1"/>
  <c r="S109" i="3"/>
  <c r="R115" i="1"/>
  <c r="AJ115" i="1"/>
  <c r="R110" i="1"/>
  <c r="V115" i="1"/>
  <c r="T115" i="1"/>
  <c r="U109" i="3"/>
  <c r="U110" i="1"/>
  <c r="U115" i="1"/>
  <c r="T109" i="3"/>
  <c r="W115" i="1"/>
  <c r="W109" i="3"/>
  <c r="W110" i="1"/>
  <c r="S115" i="1"/>
  <c r="T110" i="1"/>
  <c r="R111" i="1"/>
  <c r="S110" i="1"/>
  <c r="AJ111" i="1"/>
  <c r="AJ109" i="3"/>
</calcChain>
</file>

<file path=xl/comments1.xml><?xml version="1.0" encoding="utf-8"?>
<comments xmlns="http://schemas.openxmlformats.org/spreadsheetml/2006/main">
  <authors>
    <author/>
  </authors>
  <commentList>
    <comment ref="A2" authorId="0" shapeId="0">
      <text>
        <r>
          <rPr>
            <b/>
            <sz val="8"/>
            <rFont val="Tahoma"/>
            <family val="2"/>
          </rPr>
          <t>Standard diesel bought from any local filling station (across the board forecourt fuel typically contains biofuel content).</t>
        </r>
      </text>
    </comment>
    <comment ref="D2" authorId="0" shapeId="0">
      <text>
        <r>
          <rPr>
            <b/>
            <sz val="8"/>
            <rFont val="Tahoma"/>
            <family val="2"/>
          </rPr>
          <t>Standard diesel bought from any local filling station (across the board forecourt fuel typically contains biofuel content).</t>
        </r>
      </text>
    </comment>
    <comment ref="G2" authorId="0" shapeId="0">
      <text>
        <r>
          <rPr>
            <b/>
            <sz val="8"/>
            <rFont val="Tahoma"/>
            <family val="2"/>
          </rPr>
          <t>Diesel that has been blended with biofuel (forecourt diesel).</t>
        </r>
      </text>
    </comment>
  </commentList>
</comments>
</file>

<file path=xl/comments2.xml><?xml version="1.0" encoding="utf-8"?>
<comments xmlns="http://schemas.openxmlformats.org/spreadsheetml/2006/main">
  <authors>
    <author/>
    <author>Bramwell, Rebekah</author>
    <author>Kelsall, Alex</author>
    <author>Rebekah Watson</author>
    <author>Karagianni, Eirini</author>
    <author>Jones, Luke</author>
  </authors>
  <commentList>
    <comment ref="L2" authorId="0" shapeId="0">
      <text>
        <r>
          <rPr>
            <b/>
            <sz val="8"/>
            <rFont val="Tahoma"/>
            <family val="2"/>
          </rPr>
          <t>Renewable fuel derived from common crops (such as sugar cane and sugar beet).</t>
        </r>
      </text>
    </comment>
    <comment ref="Q2" authorId="0" shapeId="0">
      <text>
        <r>
          <rPr>
            <b/>
            <sz val="8"/>
            <rFont val="Tahoma"/>
            <family val="2"/>
          </rPr>
          <t>Purchased heat and steam for local and district heating purposes</t>
        </r>
      </text>
    </comment>
    <comment ref="L5" authorId="0" shapeId="0">
      <text>
        <r>
          <rPr>
            <b/>
            <sz val="8"/>
            <rFont val="Tahoma"/>
            <family val="2"/>
          </rPr>
          <t>Renewable fuel almost exclusively derived from common natural oils (for example, vegetable oils).</t>
        </r>
      </text>
    </comment>
    <comment ref="B6" authorId="0" shapeId="0">
      <text>
        <r>
          <rPr>
            <b/>
            <sz val="8"/>
            <rFont val="Tahoma"/>
            <family val="2"/>
          </rPr>
          <t>Compressed natural gas - a compressed version of the same natural gas used in homes. Stored in cylinders for use as an alternative transport fuel.</t>
        </r>
      </text>
    </comment>
    <comment ref="L8" authorId="0" shapeId="0">
      <text>
        <r>
          <rPr>
            <b/>
            <sz val="8"/>
            <rFont val="Tahoma"/>
            <family val="2"/>
          </rPr>
          <t>The methane constituent of biogas.  Biogas comes from anaerobic digestion of organic matter.</t>
        </r>
      </text>
    </comment>
    <comment ref="B10" authorId="0" shapeId="0">
      <text>
        <r>
          <rPr>
            <b/>
            <sz val="8"/>
            <rFont val="Tahoma"/>
            <family val="2"/>
          </rPr>
          <t xml:space="preserve">Liquefied natural gas- in a liquid state, this is the easiest way to transport gas in tankers (truck or ship). It can be used as an alternative transport fuel.
</t>
        </r>
      </text>
    </comment>
    <comment ref="L11" authorId="0" shapeId="0">
      <text>
        <r>
          <rPr>
            <b/>
            <sz val="8"/>
            <rFont val="Tahoma"/>
            <family val="2"/>
          </rPr>
          <t>Renewable fuel almost exclusively derived from common natural oils (such as vegetable oils).</t>
        </r>
      </text>
    </comment>
    <comment ref="B14" authorId="0" shapeId="0">
      <text>
        <r>
          <rPr>
            <b/>
            <sz val="8"/>
            <rFont val="Tahoma"/>
            <family val="2"/>
          </rPr>
          <t>Liquid petroleum gas - used to power cooking stoves or heaters off-grid and fuel some vehicles (such as fork-lift trucks and vans).</t>
        </r>
      </text>
    </comment>
    <comment ref="L14" authorId="0" shapeId="0">
      <text>
        <r>
          <rPr>
            <b/>
            <sz val="8"/>
            <rFont val="Tahoma"/>
            <family val="2"/>
          </rPr>
          <t>Renewable fuel almost exclusively derived from common natural oils (such as vegetable oils).</t>
        </r>
      </text>
    </comment>
    <comment ref="B18" authorId="0" shapeId="0">
      <text>
        <r>
          <rPr>
            <b/>
            <sz val="8"/>
            <rFont val="Tahoma"/>
            <family val="2"/>
          </rPr>
          <t>Standard natural gas received through the gas mains grid network in the UK. Note - contains limited biogas content.</t>
        </r>
      </text>
    </comment>
    <comment ref="B22" authorId="1" shapeId="0">
      <text>
        <r>
          <rPr>
            <b/>
            <sz val="9"/>
            <color indexed="81"/>
            <rFont val="Tahoma"/>
            <family val="2"/>
          </rPr>
          <t>Natural gas (100% mineral blend) factor is natural gas not obtained through the grid and therefore does not contain any biogas content. It can be used for calculating bespoke fuel mixtures.</t>
        </r>
      </text>
    </comment>
    <comment ref="L23" authorId="2" shapeId="0">
      <text>
        <r>
          <rPr>
            <b/>
            <sz val="8"/>
            <color indexed="81"/>
            <rFont val="Tahoma"/>
            <family val="2"/>
          </rPr>
          <t>Derived from sustainable wastes and residues other than used cooking oil and tallow.</t>
        </r>
      </text>
    </comment>
    <comment ref="B26" authorId="0" shapeId="0">
      <text>
        <r>
          <rPr>
            <b/>
            <sz val="8"/>
            <rFont val="Tahoma"/>
            <family val="2"/>
          </rPr>
          <t>Consists mainly of ethane, plus other hydrocarbons, (excludes butane and propane).</t>
        </r>
      </text>
    </comment>
    <comment ref="L26" authorId="2" shapeId="0">
      <text>
        <r>
          <rPr>
            <b/>
            <sz val="8"/>
            <color indexed="81"/>
            <rFont val="Tahoma"/>
            <family val="2"/>
          </rPr>
          <t>Derived from sustainable wastes and residues other than used cooking oil and tallow.</t>
        </r>
      </text>
    </comment>
    <comment ref="B39" authorId="0" shapeId="0">
      <text>
        <r>
          <rPr>
            <b/>
            <sz val="8"/>
            <rFont val="Tahoma"/>
            <family val="2"/>
          </rPr>
          <t>Fuel for piston-engined aircraft - a high octane petrol (aka AVGAS).</t>
        </r>
      </text>
    </comment>
    <comment ref="L39" authorId="2" shapeId="0">
      <text>
        <r>
          <rPr>
            <b/>
            <sz val="8"/>
            <color indexed="81"/>
            <rFont val="Tahoma"/>
            <family val="2"/>
          </rPr>
          <t>Sustainable aviation fuel derived wholly from biomass.</t>
        </r>
      </text>
    </comment>
    <comment ref="B43" authorId="0" shapeId="0">
      <text>
        <r>
          <rPr>
            <b/>
            <sz val="8"/>
            <rFont val="Tahoma"/>
            <family val="2"/>
          </rPr>
          <t>Fuel for turbo-prop aircraft and jets (aka jet fuel). Similar to kerosene used as a heating fuel, but refined to a higher quality.</t>
        </r>
      </text>
    </comment>
    <comment ref="B47" authorId="0" shapeId="0">
      <text>
        <r>
          <rPr>
            <b/>
            <sz val="8"/>
            <rFont val="Tahoma"/>
            <family val="2"/>
          </rPr>
          <t>Main purpose is for heating/lighting on a domestic scale (also known as kerosene).</t>
        </r>
      </text>
    </comment>
    <comment ref="L50" authorId="0" shapeId="0">
      <text>
        <r>
          <rPr>
            <b/>
            <sz val="8"/>
            <rFont val="Tahoma"/>
            <family val="2"/>
          </rPr>
          <t>Compressed low quality wood (such as sawdust and shavings) made into pellet form.</t>
        </r>
      </text>
    </comment>
    <comment ref="B51" authorId="0" shapeId="0">
      <text>
        <r>
          <rPr>
            <b/>
            <sz val="8"/>
            <rFont val="Tahoma"/>
            <family val="2"/>
          </rPr>
          <t>Standard diesel bought from any local filling station (across the board forecourt fuel typically contains biofuel content).</t>
        </r>
      </text>
    </comment>
    <comment ref="B55" authorId="0" shapeId="0">
      <text>
        <r>
          <rPr>
            <b/>
            <sz val="8"/>
            <rFont val="Tahoma"/>
            <family val="2"/>
          </rPr>
          <t>Diesel that has not been blended with biofuel (non-forecourt diesel).</t>
        </r>
      </text>
    </comment>
    <comment ref="L58" authorId="0" shapeId="0">
      <text>
        <r>
          <rPr>
            <b/>
            <sz val="8"/>
            <rFont val="Tahoma"/>
            <family val="2"/>
          </rPr>
          <t>A naturally occurring gas from the anaerobic digestion of organic materials (such as sewage and food waste), or produced intentionally as a fuel from the anaerobic digestion of biogenic substances (such as energy crops and agricultural residues).</t>
        </r>
      </text>
    </comment>
    <comment ref="B59" authorId="0" shapeId="0">
      <text>
        <r>
          <rPr>
            <b/>
            <sz val="8"/>
            <rFont val="Tahoma"/>
            <family val="2"/>
          </rPr>
          <t>Heavy oil used as fuel in furnaces and boilers of power stations, in industry, for industrial heating and in ships.</t>
        </r>
      </text>
    </comment>
    <comment ref="L60" authorId="0" shapeId="0">
      <text>
        <r>
          <rPr>
            <b/>
            <sz val="8"/>
            <rFont val="Tahoma"/>
            <family val="2"/>
          </rPr>
          <t>Gas collected from a landfill site. This may be used for electricity generation, collected and purified for use as a transport fuel, or be flared off</t>
        </r>
      </text>
    </comment>
    <comment ref="B63" authorId="0" shapeId="0">
      <text>
        <r>
          <rPr>
            <b/>
            <sz val="8"/>
            <rFont val="Tahoma"/>
            <family val="2"/>
          </rPr>
          <t>Medium oil used in diesel engines and heating systems (also known as red diesel).</t>
        </r>
      </text>
    </comment>
    <comment ref="B67" authorId="3" shapeId="0">
      <text>
        <r>
          <rPr>
            <b/>
            <sz val="8"/>
            <color indexed="81"/>
            <rFont val="Tahoma"/>
            <family val="2"/>
          </rPr>
          <t>Waste petroleum-based lubricating oils recovered for use as fuels</t>
        </r>
      </text>
    </comment>
    <comment ref="B71" authorId="0" shapeId="0">
      <text>
        <r>
          <rPr>
            <b/>
            <sz val="8"/>
            <rFont val="Tahoma"/>
            <family val="2"/>
          </rPr>
          <t>A product of crude oil refining - often used as a solvent.</t>
        </r>
      </text>
    </comment>
    <comment ref="B75" authorId="0" shapeId="0">
      <text>
        <r>
          <rPr>
            <b/>
            <sz val="8"/>
            <rFont val="Tahoma"/>
            <family val="2"/>
          </rPr>
          <t>Standard petrol bought from any local filling station (across the board forecourt fuel typically contains biofuel content).</t>
        </r>
      </text>
    </comment>
    <comment ref="B79" authorId="0" shapeId="0">
      <text>
        <r>
          <rPr>
            <b/>
            <sz val="8"/>
            <rFont val="Tahoma"/>
            <family val="2"/>
          </rPr>
          <t>Petrol that has not been blended with biofuel (non forecourt petrol).</t>
        </r>
      </text>
    </comment>
    <comment ref="B83" authorId="0" shapeId="0">
      <text>
        <r>
          <rPr>
            <b/>
            <sz val="8"/>
            <rFont val="Tahoma"/>
            <family val="2"/>
          </rPr>
          <t>Waste oils meeting the 'residual' oil definition contained in the 'Processed Fuel Oil Quality Protocol'.</t>
        </r>
      </text>
    </comment>
    <comment ref="B87" authorId="0" shapeId="0">
      <text>
        <r>
          <rPr>
            <b/>
            <sz val="8"/>
            <rFont val="Tahoma"/>
            <family val="2"/>
          </rPr>
          <t>Waste oils meeting the 'distillate' oil definition contained in the 'Processed Fuel Oil Quality Protocol'.</t>
        </r>
      </text>
    </comment>
    <comment ref="B91" authorId="3" shapeId="0">
      <text>
        <r>
          <rPr>
            <b/>
            <sz val="8"/>
            <color indexed="81"/>
            <rFont val="Tahoma"/>
            <family val="2"/>
          </rPr>
          <t>Includes aromatic extracts, defoament solvents and other minor miscellaneous products</t>
        </r>
        <r>
          <rPr>
            <sz val="9"/>
            <color indexed="81"/>
            <rFont val="Tahoma"/>
            <family val="2"/>
          </rPr>
          <t xml:space="preserve">
</t>
        </r>
      </text>
    </comment>
    <comment ref="B95" authorId="0" shapeId="0">
      <text>
        <r>
          <rPr>
            <b/>
            <sz val="8"/>
            <rFont val="Tahoma"/>
            <family val="2"/>
          </rPr>
          <t>Recycled oils outside of the 'Processed Fuel Oil Quality Protocol' definitions.</t>
        </r>
      </text>
    </comment>
    <comment ref="B99" authorId="0" shapeId="0">
      <text>
        <r>
          <rPr>
            <b/>
            <sz val="8"/>
            <rFont val="Tahoma"/>
            <family val="2"/>
          </rPr>
          <t>Distillate fuels are commonly called "Marine gas oil". Distillate fuel is composed of petroleum fractions of crude oil that are separated in a refinery by a boiling or "distillation" process.</t>
        </r>
      </text>
    </comment>
    <comment ref="B103" authorId="0" shapeId="0">
      <text>
        <r>
          <rPr>
            <b/>
            <sz val="8"/>
            <rFont val="Tahoma"/>
            <family val="2"/>
          </rPr>
          <t>Residual fuels are called "Marine fuel oil". Residual fuel or "residuum" is the fraction that did not boil, sometimes referred to as "tar" or "petroleum pitch".</t>
        </r>
      </text>
    </comment>
    <comment ref="B111" authorId="0" shapeId="0">
      <text>
        <r>
          <rPr>
            <b/>
            <sz val="8"/>
            <rFont val="Tahoma"/>
            <family val="2"/>
          </rPr>
          <t>Coal used in sources other than power stations and domestic use.</t>
        </r>
      </text>
    </comment>
    <comment ref="B114" authorId="0" shapeId="0">
      <text>
        <r>
          <rPr>
            <b/>
            <sz val="8"/>
            <rFont val="Tahoma"/>
            <family val="2"/>
          </rPr>
          <t>Coal used in power stations to generate electricity.</t>
        </r>
      </text>
    </comment>
    <comment ref="B117" authorId="0" shapeId="0">
      <text>
        <r>
          <rPr>
            <b/>
            <sz val="8"/>
            <rFont val="Tahoma"/>
            <family val="2"/>
          </rPr>
          <t>Coal used domestically.</t>
        </r>
      </text>
    </comment>
    <comment ref="B120" authorId="0" shapeId="0">
      <text>
        <r>
          <rPr>
            <b/>
            <sz val="8"/>
            <rFont val="Tahoma"/>
            <family val="2"/>
          </rPr>
          <t>Coke may be used as a heating fuel and as a reducing agent in a blast furnace.</t>
        </r>
      </text>
    </comment>
    <comment ref="B123" authorId="0" shapeId="0">
      <text>
        <r>
          <rPr>
            <b/>
            <sz val="8"/>
            <rFont val="Tahoma"/>
            <family val="2"/>
          </rPr>
          <t>Normally used in cement manufacture and power plants.</t>
        </r>
      </text>
    </comment>
    <comment ref="B126" authorId="0" shapeId="0">
      <text>
        <r>
          <rPr>
            <b/>
            <sz val="8"/>
            <rFont val="Tahoma"/>
            <family val="2"/>
          </rPr>
          <t>Coal used in power stations to generate electricity (only for coal produced in the UK).</t>
        </r>
      </text>
    </comment>
    <comment ref="B154" authorId="4" shapeId="0">
      <text>
        <r>
          <rPr>
            <b/>
            <sz val="9"/>
            <color indexed="81"/>
            <rFont val="Tahoma"/>
            <family val="2"/>
          </rPr>
          <t>Standard natural gas received through the gas mains grid network in the UK. Note - contains limited biogas content.</t>
        </r>
      </text>
    </comment>
    <comment ref="B155" authorId="5" shapeId="0">
      <text>
        <r>
          <rPr>
            <sz val="9"/>
            <color indexed="81"/>
            <rFont val="Tahoma"/>
            <family val="2"/>
          </rPr>
          <t>Standard natural gas received through the gas mains grid network in the UK. Note - contains limited biogas content</t>
        </r>
      </text>
    </comment>
  </commentList>
</comments>
</file>

<file path=xl/comments3.xml><?xml version="1.0" encoding="utf-8"?>
<comments xmlns="http://schemas.openxmlformats.org/spreadsheetml/2006/main">
  <authors>
    <author/>
  </authors>
  <commentList>
    <comment ref="O3" authorId="0" shapeId="0">
      <text>
        <r>
          <rPr>
            <b/>
            <sz val="8"/>
            <rFont val="Tahoma"/>
            <family val="2"/>
          </rPr>
          <t>Gases regulated under the agreed 'Kyoto Protocol' which is an international treaty that set binding GHG reduction obligations for 37 industrialised countries.</t>
        </r>
      </text>
    </comment>
    <comment ref="O40" authorId="0" shapeId="0">
      <text>
        <r>
          <rPr>
            <b/>
            <sz val="8"/>
            <rFont val="Tahoma"/>
            <family val="2"/>
          </rPr>
          <t>Blends of gases regulated under the 'Kyoto Protocol'.</t>
        </r>
      </text>
    </comment>
    <comment ref="O128" authorId="0" shapeId="0">
      <text>
        <r>
          <rPr>
            <b/>
            <sz val="8"/>
            <rFont val="Tahoma"/>
            <family val="2"/>
          </rPr>
          <t>Gases covered by an international treaty (Montreal Protocol 1987) that aims to 'phase out' specific, known ozone-depleting substances.</t>
        </r>
      </text>
    </comment>
  </commentList>
</comments>
</file>

<file path=xl/comments4.xml><?xml version="1.0" encoding="utf-8"?>
<comments xmlns="http://schemas.openxmlformats.org/spreadsheetml/2006/main">
  <authors>
    <author/>
  </authors>
  <commentList>
    <comment ref="D2" authorId="0" shapeId="0">
      <text>
        <r>
          <rPr>
            <b/>
            <sz val="8"/>
            <rFont val="Tahoma"/>
            <family val="2"/>
          </rPr>
          <t>An equivalent measure of one tonne of transported goods over one km.</t>
        </r>
      </text>
    </comment>
  </commentList>
</comments>
</file>

<file path=xl/comments5.xml><?xml version="1.0" encoding="utf-8"?>
<comments xmlns="http://schemas.openxmlformats.org/spreadsheetml/2006/main">
  <authors>
    <author/>
  </authors>
  <commentList>
    <comment ref="U4" authorId="0" shapeId="0">
      <text>
        <r>
          <rPr>
            <b/>
            <sz val="8"/>
            <rFont val="Tahoma"/>
            <family val="2"/>
          </rPr>
          <t>Closed-loop recycling is the process of recycling material back into the same product.</t>
        </r>
      </text>
    </comment>
    <comment ref="V4" authorId="0" shapeId="0">
      <text>
        <r>
          <rPr>
            <b/>
            <sz val="8"/>
            <rFont val="Tahoma"/>
            <family val="2"/>
          </rPr>
          <t>Energy is recovered from the waste through incineration and subsequent generation of electricity.</t>
        </r>
      </text>
    </comment>
    <comment ref="S9" authorId="0" shapeId="0">
      <text>
        <r>
          <rPr>
            <b/>
            <sz val="8"/>
            <rFont val="Tahoma"/>
            <family val="2"/>
          </rPr>
          <t>Assumes 25% paper, 75% board</t>
        </r>
      </text>
    </comment>
    <comment ref="S13" authorId="0" shapeId="0">
      <text>
        <r>
          <rPr>
            <b/>
            <sz val="8"/>
            <rFont val="Tahoma"/>
            <family val="2"/>
          </rPr>
          <t>Domestic waste</t>
        </r>
      </text>
    </comment>
    <comment ref="S17" authorId="0" shapeId="0">
      <text>
        <r>
          <rPr>
            <b/>
            <sz val="8"/>
            <rFont val="Tahoma"/>
            <family val="2"/>
          </rPr>
          <t>Waste generated by businesses or industrial operations</t>
        </r>
      </text>
    </comment>
    <comment ref="S22" authorId="0" shapeId="0">
      <text>
        <r>
          <rPr>
            <b/>
            <sz val="8"/>
            <rFont val="Tahoma"/>
            <family val="2"/>
          </rPr>
          <t>Excludes car batteries</t>
        </r>
      </text>
    </comment>
  </commentList>
</comments>
</file>

<file path=xl/sharedStrings.xml><?xml version="1.0" encoding="utf-8"?>
<sst xmlns="http://schemas.openxmlformats.org/spreadsheetml/2006/main" count="8065" uniqueCount="1318">
  <si>
    <t>Tipo de combustível</t>
  </si>
  <si>
    <t>Norma de Emissões</t>
  </si>
  <si>
    <t>Pesado de Passageiros M3</t>
  </si>
  <si>
    <t>Gasóleo</t>
  </si>
  <si>
    <t>E4</t>
  </si>
  <si>
    <t>E5</t>
  </si>
  <si>
    <t>E6</t>
  </si>
  <si>
    <t>E1</t>
  </si>
  <si>
    <t>E0</t>
  </si>
  <si>
    <t>E2</t>
  </si>
  <si>
    <t>E3</t>
  </si>
  <si>
    <t>Tipologia veículos (Categoria)</t>
  </si>
  <si>
    <t>Tipologia veículos (Classe)</t>
  </si>
  <si>
    <t>I</t>
  </si>
  <si>
    <t>III</t>
  </si>
  <si>
    <t>II</t>
  </si>
  <si>
    <t>Geral</t>
  </si>
  <si>
    <t>GE</t>
  </si>
  <si>
    <t>SAR</t>
  </si>
  <si>
    <t>AR4</t>
  </si>
  <si>
    <t>AR5</t>
  </si>
  <si>
    <t>AR6</t>
  </si>
  <si>
    <t>CO2</t>
  </si>
  <si>
    <t>CH4</t>
  </si>
  <si>
    <t>N2O</t>
  </si>
  <si>
    <t>HFC23</t>
  </si>
  <si>
    <t>HFC32</t>
  </si>
  <si>
    <t>HFC43</t>
  </si>
  <si>
    <t>HFC125</t>
  </si>
  <si>
    <t>HFC134a</t>
  </si>
  <si>
    <t>HFC152a</t>
  </si>
  <si>
    <t>HFC143a</t>
  </si>
  <si>
    <t>HFC227ea</t>
  </si>
  <si>
    <t>HFC236fa</t>
  </si>
  <si>
    <t>CF4</t>
  </si>
  <si>
    <t>C2F6</t>
  </si>
  <si>
    <t>C3F8</t>
  </si>
  <si>
    <t>C4F10</t>
  </si>
  <si>
    <t>C6F14</t>
  </si>
  <si>
    <t>SF6</t>
  </si>
  <si>
    <t>NF3</t>
  </si>
  <si>
    <t>Ligeiro de Passageiros M1</t>
  </si>
  <si>
    <t>Gasolina</t>
  </si>
  <si>
    <t>Híbrido Gasolina</t>
  </si>
  <si>
    <t>GPL</t>
  </si>
  <si>
    <t>Ligeiro de Mercadorias N1</t>
  </si>
  <si>
    <t>Pesado de Mercadorias N3</t>
  </si>
  <si>
    <t>Em. Energia CO2</t>
  </si>
  <si>
    <t>Em Energia. CH4</t>
  </si>
  <si>
    <t>Em. Qtd. CO2</t>
  </si>
  <si>
    <t>Em Qtd. CH4</t>
  </si>
  <si>
    <t>Em. km CO2</t>
  </si>
  <si>
    <t>Em km CH4</t>
  </si>
  <si>
    <t>Un. Qtd.</t>
  </si>
  <si>
    <t>Un. Energia</t>
  </si>
  <si>
    <t>l</t>
  </si>
  <si>
    <t>Nm3</t>
  </si>
  <si>
    <t>kg</t>
  </si>
  <si>
    <t>HFC22</t>
  </si>
  <si>
    <t>HFC407c</t>
  </si>
  <si>
    <t>Energia / Qtd.</t>
  </si>
  <si>
    <t>PAG100 FE Energia AR5</t>
  </si>
  <si>
    <t>PAG100 FE Energia AR4</t>
  </si>
  <si>
    <t xml:space="preserve">PAG20 FE Energia AR6 </t>
  </si>
  <si>
    <t xml:space="preserve">PAG100 FE Energia AR6 </t>
  </si>
  <si>
    <t>PAG20 FE Energia AR4</t>
  </si>
  <si>
    <t>PAG100 FE Qtd. AR6</t>
  </si>
  <si>
    <t>PAG100 FE Qtd. AR5</t>
  </si>
  <si>
    <t>PAG100 FE Qtd. AR4</t>
  </si>
  <si>
    <t>PAG20 FE Qtd. AR6</t>
  </si>
  <si>
    <t>PAG20 FE Qtd. AR5</t>
  </si>
  <si>
    <t>PAG20 FE Qtd. AR4</t>
  </si>
  <si>
    <t>PAG100 FE km AR6</t>
  </si>
  <si>
    <t>PAG100 FE km AR5</t>
  </si>
  <si>
    <t>PAG100 FE km AR4</t>
  </si>
  <si>
    <t>PAG20 FE km AR6</t>
  </si>
  <si>
    <t>PAG20 FE km AR5</t>
  </si>
  <si>
    <t>PAG20 FE km AR4</t>
  </si>
  <si>
    <t>20-28 t</t>
  </si>
  <si>
    <t>&lt;20 t</t>
  </si>
  <si>
    <t>&gt;28 t</t>
  </si>
  <si>
    <t>E6 D/E E7</t>
  </si>
  <si>
    <t>Fuel</t>
  </si>
  <si>
    <t>Energia (MJ/kg)</t>
  </si>
  <si>
    <t>Densidade (kg/m3)</t>
  </si>
  <si>
    <t>Qtd.</t>
  </si>
  <si>
    <t>Densidade kg/Qtd.</t>
  </si>
  <si>
    <t>Energia (MJ/Qtd.)</t>
  </si>
  <si>
    <t>H:C Ratio</t>
  </si>
  <si>
    <t>O:C Ratio</t>
  </si>
  <si>
    <t>FO</t>
  </si>
  <si>
    <t>Nota</t>
  </si>
  <si>
    <t>GNC</t>
  </si>
  <si>
    <t>Biodiesel</t>
  </si>
  <si>
    <t>Bioetanol</t>
  </si>
  <si>
    <t>GNL</t>
  </si>
  <si>
    <t>GJ</t>
  </si>
  <si>
    <t>Energia (GJ/Qtd.)2</t>
  </si>
  <si>
    <t>CM NIR</t>
  </si>
  <si>
    <t>Em. Energia N2O</t>
  </si>
  <si>
    <t>Em. Qtd. N2O</t>
  </si>
  <si>
    <t>Em. km N2O</t>
  </si>
  <si>
    <t>Aplication</t>
  </si>
  <si>
    <t>Equipment</t>
  </si>
  <si>
    <t>Estado</t>
  </si>
  <si>
    <t>Eq. Comercial Estacionário</t>
  </si>
  <si>
    <t>Caldeiras Médias</t>
  </si>
  <si>
    <t>Fornos</t>
  </si>
  <si>
    <t>G</t>
  </si>
  <si>
    <t>GN</t>
  </si>
  <si>
    <t>Turbinas a Gás</t>
  </si>
  <si>
    <t>Bombas de Calor</t>
  </si>
  <si>
    <t>CO2 kg/GJ</t>
  </si>
  <si>
    <t>CH4 kg/GJ</t>
  </si>
  <si>
    <t>N2O kg/GJ</t>
  </si>
  <si>
    <t>GWG</t>
  </si>
  <si>
    <t>Gas Oil</t>
  </si>
  <si>
    <t>Madeira</t>
  </si>
  <si>
    <t>Fuel Oil</t>
  </si>
  <si>
    <t>L</t>
  </si>
  <si>
    <t>S</t>
  </si>
  <si>
    <t>Caldeiras &lt; 1MWth</t>
  </si>
  <si>
    <t>Caldeiras &gt; 1MWth</t>
  </si>
  <si>
    <t>Activity</t>
  </si>
  <si>
    <t>Unit</t>
  </si>
  <si>
    <r>
      <t>kg CO</t>
    </r>
    <r>
      <rPr>
        <vertAlign val="subscript"/>
        <sz val="11"/>
        <color indexed="56"/>
        <rFont val="Calibri"/>
        <family val="2"/>
      </rPr>
      <t>2</t>
    </r>
    <r>
      <rPr>
        <sz val="11"/>
        <color indexed="56"/>
        <rFont val="Calibri"/>
        <family val="2"/>
      </rPr>
      <t>e</t>
    </r>
  </si>
  <si>
    <r>
      <t>kg CO</t>
    </r>
    <r>
      <rPr>
        <vertAlign val="subscript"/>
        <sz val="11"/>
        <color rgb="FF002060"/>
        <rFont val="Calibri"/>
        <family val="2"/>
        <scheme val="minor"/>
      </rPr>
      <t>2</t>
    </r>
    <r>
      <rPr>
        <sz val="11"/>
        <color rgb="FF002060"/>
        <rFont val="Calibri"/>
        <family val="2"/>
        <scheme val="minor"/>
      </rPr>
      <t>e of CO</t>
    </r>
    <r>
      <rPr>
        <vertAlign val="subscript"/>
        <sz val="11"/>
        <color rgb="FF002060"/>
        <rFont val="Calibri"/>
        <family val="2"/>
        <scheme val="minor"/>
      </rPr>
      <t>2</t>
    </r>
    <r>
      <rPr>
        <sz val="11"/>
        <color rgb="FF002060"/>
        <rFont val="Calibri"/>
        <family val="2"/>
        <scheme val="minor"/>
      </rPr>
      <t xml:space="preserve"> per unit</t>
    </r>
  </si>
  <si>
    <r>
      <t>kg CO</t>
    </r>
    <r>
      <rPr>
        <vertAlign val="subscript"/>
        <sz val="11"/>
        <color rgb="FF002060"/>
        <rFont val="Calibri"/>
        <family val="2"/>
        <scheme val="minor"/>
      </rPr>
      <t>2</t>
    </r>
    <r>
      <rPr>
        <sz val="11"/>
        <color rgb="FF002060"/>
        <rFont val="Calibri"/>
        <family val="2"/>
        <scheme val="minor"/>
      </rPr>
      <t>e of CH</t>
    </r>
    <r>
      <rPr>
        <vertAlign val="subscript"/>
        <sz val="11"/>
        <color rgb="FF002060"/>
        <rFont val="Calibri"/>
        <family val="2"/>
        <scheme val="minor"/>
      </rPr>
      <t>4</t>
    </r>
    <r>
      <rPr>
        <sz val="11"/>
        <color rgb="FF002060"/>
        <rFont val="Calibri"/>
        <family val="2"/>
        <scheme val="minor"/>
      </rPr>
      <t xml:space="preserve"> per unit</t>
    </r>
  </si>
  <si>
    <r>
      <t>kg CO</t>
    </r>
    <r>
      <rPr>
        <vertAlign val="subscript"/>
        <sz val="11"/>
        <color rgb="FF002060"/>
        <rFont val="Calibri"/>
        <family val="2"/>
        <scheme val="minor"/>
      </rPr>
      <t>2</t>
    </r>
    <r>
      <rPr>
        <sz val="11"/>
        <color rgb="FF002060"/>
        <rFont val="Calibri"/>
        <family val="2"/>
        <scheme val="minor"/>
      </rPr>
      <t>e of N</t>
    </r>
    <r>
      <rPr>
        <vertAlign val="subscript"/>
        <sz val="11"/>
        <color rgb="FF002060"/>
        <rFont val="Calibri"/>
        <family val="2"/>
        <scheme val="minor"/>
      </rPr>
      <t>2</t>
    </r>
    <r>
      <rPr>
        <sz val="11"/>
        <color rgb="FF002060"/>
        <rFont val="Calibri"/>
        <family val="2"/>
        <scheme val="minor"/>
      </rPr>
      <t>O per unit</t>
    </r>
  </si>
  <si>
    <t>Gaseous fuels</t>
  </si>
  <si>
    <t>Butane</t>
  </si>
  <si>
    <t>tonnes</t>
  </si>
  <si>
    <t>litres</t>
  </si>
  <si>
    <t>kWh (Net CV)</t>
  </si>
  <si>
    <t>kWh (Gross CV)</t>
  </si>
  <si>
    <t>CNG</t>
  </si>
  <si>
    <t>LNG</t>
  </si>
  <si>
    <t>LPG</t>
  </si>
  <si>
    <t>Natural gas</t>
  </si>
  <si>
    <t>cubic metres</t>
  </si>
  <si>
    <t>Natural gas (100% mineral blend)</t>
  </si>
  <si>
    <t>Other petroleum gas</t>
  </si>
  <si>
    <t>Propane</t>
  </si>
  <si>
    <t>Liquid fuels</t>
  </si>
  <si>
    <t>Aviation spirit</t>
  </si>
  <si>
    <t>Aviation turbine fuel</t>
  </si>
  <si>
    <t>Burning oil</t>
  </si>
  <si>
    <t>Diesel (average biofuel blend)</t>
  </si>
  <si>
    <t>Diesel (100% mineral diesel)</t>
  </si>
  <si>
    <t>Fuel oil</t>
  </si>
  <si>
    <t>Gas oil</t>
  </si>
  <si>
    <t>Lubricants</t>
  </si>
  <si>
    <t>Naphtha</t>
  </si>
  <si>
    <t>Petrol (average biofuel blend)</t>
  </si>
  <si>
    <t>Petrol (100% mineral petrol)</t>
  </si>
  <si>
    <t>Processed fuel oils - residual oil</t>
  </si>
  <si>
    <t>Processed fuel oils - distillate oil</t>
  </si>
  <si>
    <t>Refinery miscellaneous</t>
  </si>
  <si>
    <t>Waste oils</t>
  </si>
  <si>
    <t>Marine gas oil</t>
  </si>
  <si>
    <t>Marine fuel oil</t>
  </si>
  <si>
    <t>Solid fuels</t>
  </si>
  <si>
    <t>Coal (industrial)</t>
  </si>
  <si>
    <t>Coal (electricity generation)</t>
  </si>
  <si>
    <t>Coal (domestic)</t>
  </si>
  <si>
    <t>Coking coal</t>
  </si>
  <si>
    <t>Petroleum coke</t>
  </si>
  <si>
    <t>Coal (electricity generation - home produced coal only)</t>
  </si>
  <si>
    <t>Biofuel</t>
  </si>
  <si>
    <t>Bioethanol</t>
  </si>
  <si>
    <t>Biodiesel ME</t>
  </si>
  <si>
    <t>Biomethane (compressed)</t>
  </si>
  <si>
    <t>Biodiesel ME (from used cooking oil)</t>
  </si>
  <si>
    <t>Biodiesel ME (from tallow)</t>
  </si>
  <si>
    <t>Biodiesel HVO</t>
  </si>
  <si>
    <t>Biopropane</t>
  </si>
  <si>
    <t>Development diesel</t>
  </si>
  <si>
    <t>Development petrol</t>
  </si>
  <si>
    <t>Off road biodiesel</t>
  </si>
  <si>
    <t>Biomethane (liquified)</t>
  </si>
  <si>
    <t>Methanol (bio)</t>
  </si>
  <si>
    <t>Avtur (renewable)</t>
  </si>
  <si>
    <t>Biomass</t>
  </si>
  <si>
    <t>Wood logs</t>
  </si>
  <si>
    <t>kWh</t>
  </si>
  <si>
    <t>Wood chips</t>
  </si>
  <si>
    <t>Wood pellets</t>
  </si>
  <si>
    <t>Grass/straw</t>
  </si>
  <si>
    <t>Biogas</t>
  </si>
  <si>
    <t>Landfill gas</t>
  </si>
  <si>
    <t>Type</t>
  </si>
  <si>
    <t>Year</t>
  </si>
  <si>
    <t>Heat and steam</t>
  </si>
  <si>
    <t>Onsite heat and steam</t>
  </si>
  <si>
    <t>District heat and steam</t>
  </si>
  <si>
    <t>Year:year</t>
  </si>
  <si>
    <t>Member State:text</t>
  </si>
  <si>
    <t>EU-27</t>
  </si>
  <si>
    <t>Sweden</t>
  </si>
  <si>
    <t>Luxembourg</t>
  </si>
  <si>
    <t>Finland</t>
  </si>
  <si>
    <t>France</t>
  </si>
  <si>
    <t>Latvia</t>
  </si>
  <si>
    <t>Austria</t>
  </si>
  <si>
    <t>Denmark</t>
  </si>
  <si>
    <t>Slovakia</t>
  </si>
  <si>
    <t>Croatia</t>
  </si>
  <si>
    <t>Belgium</t>
  </si>
  <si>
    <t>Portugal</t>
  </si>
  <si>
    <t>Lithuania</t>
  </si>
  <si>
    <t>Hungary</t>
  </si>
  <si>
    <t>Spain</t>
  </si>
  <si>
    <t>Slovenia</t>
  </si>
  <si>
    <t>Romania</t>
  </si>
  <si>
    <t>Italy</t>
  </si>
  <si>
    <t>Ireland</t>
  </si>
  <si>
    <t>Netherlands</t>
  </si>
  <si>
    <t>Malta</t>
  </si>
  <si>
    <t>Germany</t>
  </si>
  <si>
    <t>Czechia</t>
  </si>
  <si>
    <t>Greece</t>
  </si>
  <si>
    <t>Bulgaria</t>
  </si>
  <si>
    <t>Cyprus</t>
  </si>
  <si>
    <t>Estonia</t>
  </si>
  <si>
    <t>Poland</t>
  </si>
  <si>
    <t>Greenhouse gas (GHG) emission intensity:number2</t>
  </si>
  <si>
    <t>Member State</t>
  </si>
  <si>
    <t>Greenhouse gas (GHG) emission intensity (gCO2e/kWh)</t>
  </si>
  <si>
    <t>kg CO2</t>
  </si>
  <si>
    <t>kg CH4</t>
  </si>
  <si>
    <t>kg N2O</t>
  </si>
  <si>
    <t>Butano</t>
  </si>
  <si>
    <t>GN (100% fossil)</t>
  </si>
  <si>
    <t>Propano</t>
  </si>
  <si>
    <t>PAG 100 AR4</t>
  </si>
  <si>
    <t>PAG 100 AR5</t>
  </si>
  <si>
    <t>PAG 100 AR6</t>
  </si>
  <si>
    <t>Emissions including only Kyoto products</t>
  </si>
  <si>
    <t>Emissions including only non-Kyoto products</t>
  </si>
  <si>
    <t>Total emissions including non-Kyoto products</t>
  </si>
  <si>
    <t>Emission</t>
  </si>
  <si>
    <t>Kyoto protocol products</t>
  </si>
  <si>
    <t>Carbon dioxide</t>
  </si>
  <si>
    <t>Methane</t>
  </si>
  <si>
    <t>Nitrous oxide</t>
  </si>
  <si>
    <t>HFC-23</t>
  </si>
  <si>
    <t>HFC-32</t>
  </si>
  <si>
    <t>HFC-41</t>
  </si>
  <si>
    <t>HFC-125</t>
  </si>
  <si>
    <t>HFC-134</t>
  </si>
  <si>
    <t>HFC-134a</t>
  </si>
  <si>
    <t>HFC-143</t>
  </si>
  <si>
    <t>HFC-143a</t>
  </si>
  <si>
    <t>HFC-152a</t>
  </si>
  <si>
    <t>HFC-227ea</t>
  </si>
  <si>
    <t>HFC-236fa</t>
  </si>
  <si>
    <t>HFC-245fa</t>
  </si>
  <si>
    <t>HFC-43-I0mee</t>
  </si>
  <si>
    <t>Perfluoromethane (PFC-14)</t>
  </si>
  <si>
    <t>Perfluoroethane (PFC-116)</t>
  </si>
  <si>
    <t>Perfluoropropane (PFC-218)</t>
  </si>
  <si>
    <t>Perfluorocyclobutane (PFC-318)</t>
  </si>
  <si>
    <t>Perfluorobutane (PFC-3-1-10)</t>
  </si>
  <si>
    <t>Perfluoropentane (PFC-4-1-12)</t>
  </si>
  <si>
    <t>Perfluorohexane (PFC-5-1-14)</t>
  </si>
  <si>
    <t>PFC-9-1-18</t>
  </si>
  <si>
    <t>Perfluorocyclopropane</t>
  </si>
  <si>
    <t>Sulphur hexafluoride (SF6)</t>
  </si>
  <si>
    <t>HFC-152</t>
  </si>
  <si>
    <t>HFC-161</t>
  </si>
  <si>
    <t>HFC-236cb</t>
  </si>
  <si>
    <t>HFC-236ea</t>
  </si>
  <si>
    <t>HFC-245ca</t>
  </si>
  <si>
    <t>HFC-365mfc</t>
  </si>
  <si>
    <t>Nitrogen trifluoride</t>
  </si>
  <si>
    <t>Blends</t>
  </si>
  <si>
    <t>R401A</t>
  </si>
  <si>
    <t>R401B</t>
  </si>
  <si>
    <t>R401C</t>
  </si>
  <si>
    <t>R402A</t>
  </si>
  <si>
    <t>R402B</t>
  </si>
  <si>
    <t>R403A</t>
  </si>
  <si>
    <t>R403B</t>
  </si>
  <si>
    <t>R404A</t>
  </si>
  <si>
    <t>R405A</t>
  </si>
  <si>
    <t>R406A</t>
  </si>
  <si>
    <t>R407A</t>
  </si>
  <si>
    <t>R407B</t>
  </si>
  <si>
    <t>R407C</t>
  </si>
  <si>
    <t>R407D</t>
  </si>
  <si>
    <t>R407E</t>
  </si>
  <si>
    <t>R407F</t>
  </si>
  <si>
    <t>R408A</t>
  </si>
  <si>
    <t>R409A</t>
  </si>
  <si>
    <t>R409B</t>
  </si>
  <si>
    <t>R410A</t>
  </si>
  <si>
    <t>R410B</t>
  </si>
  <si>
    <t>R411A</t>
  </si>
  <si>
    <t>R411B</t>
  </si>
  <si>
    <t>R412A</t>
  </si>
  <si>
    <t>R413A</t>
  </si>
  <si>
    <t>R414A</t>
  </si>
  <si>
    <t>R414B</t>
  </si>
  <si>
    <t>R415A</t>
  </si>
  <si>
    <t>R415B</t>
  </si>
  <si>
    <t>R416A</t>
  </si>
  <si>
    <t>R417A</t>
  </si>
  <si>
    <t>R417B</t>
  </si>
  <si>
    <t>R417C</t>
  </si>
  <si>
    <t>R418A</t>
  </si>
  <si>
    <t>R419A</t>
  </si>
  <si>
    <t>R419B</t>
  </si>
  <si>
    <t>R420A</t>
  </si>
  <si>
    <t>R421A</t>
  </si>
  <si>
    <t>R421B</t>
  </si>
  <si>
    <t>R422A</t>
  </si>
  <si>
    <t>R422B</t>
  </si>
  <si>
    <t>R422C</t>
  </si>
  <si>
    <t>R422D</t>
  </si>
  <si>
    <t>R422E</t>
  </si>
  <si>
    <t>R423A</t>
  </si>
  <si>
    <t>R424A</t>
  </si>
  <si>
    <t>R425A</t>
  </si>
  <si>
    <t>R426A</t>
  </si>
  <si>
    <t>R427A</t>
  </si>
  <si>
    <t>R428A</t>
  </si>
  <si>
    <t>R429A</t>
  </si>
  <si>
    <t>R430A</t>
  </si>
  <si>
    <t>R431A</t>
  </si>
  <si>
    <t>R432A</t>
  </si>
  <si>
    <t>R433A</t>
  </si>
  <si>
    <t>R433B</t>
  </si>
  <si>
    <t>R433C</t>
  </si>
  <si>
    <t>R434A</t>
  </si>
  <si>
    <t>R435A</t>
  </si>
  <si>
    <t>R436A</t>
  </si>
  <si>
    <t>R436B</t>
  </si>
  <si>
    <t>R437A</t>
  </si>
  <si>
    <t>R438A</t>
  </si>
  <si>
    <t>R439A</t>
  </si>
  <si>
    <t>R440A</t>
  </si>
  <si>
    <t>R441A</t>
  </si>
  <si>
    <t>R442A</t>
  </si>
  <si>
    <t>R443A</t>
  </si>
  <si>
    <t>R444A</t>
  </si>
  <si>
    <t>R445A</t>
  </si>
  <si>
    <t>R500</t>
  </si>
  <si>
    <t>R501</t>
  </si>
  <si>
    <t>R502</t>
  </si>
  <si>
    <t>R503</t>
  </si>
  <si>
    <t>R504</t>
  </si>
  <si>
    <t>R505</t>
  </si>
  <si>
    <t>R506</t>
  </si>
  <si>
    <t>R507A</t>
  </si>
  <si>
    <t>R508A</t>
  </si>
  <si>
    <t>R508B</t>
  </si>
  <si>
    <t>R509A</t>
  </si>
  <si>
    <t>R510A</t>
  </si>
  <si>
    <t>R511A</t>
  </si>
  <si>
    <t>R512A</t>
  </si>
  <si>
    <t>Montreal protocol products</t>
  </si>
  <si>
    <t>CFC-11/R11 = trichlorofluoromethane</t>
  </si>
  <si>
    <t>CFC-12/R12 = dichlorodifluoromethane</t>
  </si>
  <si>
    <t>CFC-13</t>
  </si>
  <si>
    <t>CFC-113</t>
  </si>
  <si>
    <t>CFC-114</t>
  </si>
  <si>
    <t>CFC-115</t>
  </si>
  <si>
    <t>Halon-1211</t>
  </si>
  <si>
    <t>Halon-1301</t>
  </si>
  <si>
    <t>Halon-2402</t>
  </si>
  <si>
    <t>Carbon tetrachloride</t>
  </si>
  <si>
    <t>Methyl bromide</t>
  </si>
  <si>
    <t>Methyl chloroform</t>
  </si>
  <si>
    <t>HCFC-22/R22 = chlorodifluoromethane</t>
  </si>
  <si>
    <t>HCFC-123</t>
  </si>
  <si>
    <t>HCFC-124</t>
  </si>
  <si>
    <t>HCFC-141b</t>
  </si>
  <si>
    <t>HCFC-142b</t>
  </si>
  <si>
    <t>HCFC-225ca</t>
  </si>
  <si>
    <t>HCFC-225cb</t>
  </si>
  <si>
    <t>HCFC-21</t>
  </si>
  <si>
    <t>Fluorinated ethers</t>
  </si>
  <si>
    <t>HFE-125</t>
  </si>
  <si>
    <t>HFE-134</t>
  </si>
  <si>
    <t>HFE-143a</t>
  </si>
  <si>
    <t>HCFE-235da2</t>
  </si>
  <si>
    <t>HFE-245cb2</t>
  </si>
  <si>
    <t>HFE-245fa2</t>
  </si>
  <si>
    <t>HFE-254cb2</t>
  </si>
  <si>
    <t>HFE-347mcc3</t>
  </si>
  <si>
    <t>HFE-347pcf2</t>
  </si>
  <si>
    <t>HFE-356pcc3</t>
  </si>
  <si>
    <t>HFE-449sl (HFE-7100)</t>
  </si>
  <si>
    <t>HFE-569sf2 (HFE-7200)</t>
  </si>
  <si>
    <t>HFE-43-10pccc124 (H-Galden1040x)</t>
  </si>
  <si>
    <t>HFE-236ca12 (HG-10)</t>
  </si>
  <si>
    <t>HFE-338pcc13 (HG-01)</t>
  </si>
  <si>
    <t>Other products</t>
  </si>
  <si>
    <t>Trifluoromethyl sulphur pentafluoride</t>
  </si>
  <si>
    <t>PFPMIE</t>
  </si>
  <si>
    <t>Dimethylether</t>
  </si>
  <si>
    <t>Methylene chloride</t>
  </si>
  <si>
    <t>Methyl chloride</t>
  </si>
  <si>
    <t>R290 = propane</t>
  </si>
  <si>
    <t>R600A = isobutane</t>
  </si>
  <si>
    <t>R600 = butane</t>
  </si>
  <si>
    <t>R601 = pentane</t>
  </si>
  <si>
    <t>R601A = isopentane</t>
  </si>
  <si>
    <t>R170 = ethane</t>
  </si>
  <si>
    <t>R1270 = propene</t>
  </si>
  <si>
    <t>R1234yf*</t>
  </si>
  <si>
    <t>R1234ze*</t>
  </si>
  <si>
    <t>PAG 20 AR4</t>
  </si>
  <si>
    <t>PAG 20 AR5</t>
  </si>
  <si>
    <t>Tipo</t>
  </si>
  <si>
    <t>Fonte</t>
  </si>
  <si>
    <t>Ano</t>
  </si>
  <si>
    <t>Entidade</t>
  </si>
  <si>
    <t>PAG 20AR6</t>
  </si>
  <si>
    <t>Tipo FE</t>
  </si>
  <si>
    <t>Location Based</t>
  </si>
  <si>
    <t>FE CO2eq/kWh</t>
  </si>
  <si>
    <t>AIB + carbonfootprint.com</t>
  </si>
  <si>
    <t>nowtricity.com + ENTSO-E</t>
  </si>
  <si>
    <t>APA</t>
  </si>
  <si>
    <t>Portugal Continental</t>
  </si>
  <si>
    <t>Statista Full Cycle</t>
  </si>
  <si>
    <t>Statista w/o Losses</t>
  </si>
  <si>
    <t>DEFRA</t>
  </si>
  <si>
    <t>UK</t>
  </si>
  <si>
    <t>FE CH4</t>
  </si>
  <si>
    <t>Metodologia FE</t>
  </si>
  <si>
    <t>FE gCO2</t>
  </si>
  <si>
    <t>FE gCO2eq de CH4</t>
  </si>
  <si>
    <t>FE fCO2eq de N2O</t>
  </si>
  <si>
    <t>FE N2O</t>
  </si>
  <si>
    <t>Market Based</t>
  </si>
  <si>
    <t>EDP</t>
  </si>
  <si>
    <t>GALP</t>
  </si>
  <si>
    <t>EDP Residencial</t>
  </si>
  <si>
    <t>EDP Empresas</t>
  </si>
  <si>
    <t>EDP Comercial (média)</t>
  </si>
  <si>
    <t>EDP Energia Verde Certificada</t>
  </si>
  <si>
    <t>Endesa</t>
  </si>
  <si>
    <t>Energia</t>
  </si>
  <si>
    <t>Tipo Emissões</t>
  </si>
  <si>
    <t>FE %</t>
  </si>
  <si>
    <t>ERSE</t>
  </si>
  <si>
    <t>AIE</t>
  </si>
  <si>
    <t>Observatório de Energia</t>
  </si>
  <si>
    <t>PT AIE/GALP</t>
  </si>
  <si>
    <t>Metodologia</t>
  </si>
  <si>
    <t>Perdas Rede SEN</t>
  </si>
  <si>
    <t>Perdas Rede UK</t>
  </si>
  <si>
    <t>WTT</t>
  </si>
  <si>
    <t>?</t>
  </si>
  <si>
    <t>FE gCO2eq/Unit LB</t>
  </si>
  <si>
    <t>FE gCO2/Unit LB</t>
  </si>
  <si>
    <t>FE g CH4/Unit LB</t>
  </si>
  <si>
    <t>FE g N2O/Unit LB</t>
  </si>
  <si>
    <t>FE gCO2eq/Unit MB</t>
  </si>
  <si>
    <t>m3</t>
  </si>
  <si>
    <t>rho</t>
  </si>
  <si>
    <t>unit</t>
  </si>
  <si>
    <t>kg/l</t>
  </si>
  <si>
    <t>rho*</t>
  </si>
  <si>
    <t>kg/m3</t>
  </si>
  <si>
    <t>kg/m4</t>
  </si>
  <si>
    <t>Tipo Activo</t>
  </si>
  <si>
    <t>Tipo de Atividade</t>
  </si>
  <si>
    <t>Autocarro Regional Mini</t>
  </si>
  <si>
    <t>Autocarro Regional Midi</t>
  </si>
  <si>
    <t>Autocarro Regional Std</t>
  </si>
  <si>
    <t>Autocarro Regional 3 eixos</t>
  </si>
  <si>
    <t>Autocarro Urbano Mini</t>
  </si>
  <si>
    <t>Autocarro Urbano Midi</t>
  </si>
  <si>
    <t>Autocarro Urbano Std</t>
  </si>
  <si>
    <t>Autocarro Urbano Articulado</t>
  </si>
  <si>
    <t>Autocarro Turismo Mini</t>
  </si>
  <si>
    <t>Autocarro Turismo Midi</t>
  </si>
  <si>
    <t>Autocarro Turismo Std</t>
  </si>
  <si>
    <t>Autocarro Turismo 3 eixos</t>
  </si>
  <si>
    <t>Produção</t>
  </si>
  <si>
    <t>LCA MB</t>
  </si>
  <si>
    <t>Abate</t>
  </si>
  <si>
    <t>FE kgCO2eq/Unidade</t>
  </si>
  <si>
    <t>BEV</t>
  </si>
  <si>
    <t>ICE Gasóleo</t>
  </si>
  <si>
    <t>Emissões médias por colaborador</t>
  </si>
  <si>
    <t>Unidade</t>
  </si>
  <si>
    <t>ano</t>
  </si>
  <si>
    <t>Unidade Tempo/Dist</t>
  </si>
  <si>
    <t>FE kgCO2eq</t>
  </si>
  <si>
    <t>Base Ref.</t>
  </si>
  <si>
    <t>Água</t>
  </si>
  <si>
    <t>Recurso</t>
  </si>
  <si>
    <t>FE gCO2/Unidade</t>
  </si>
  <si>
    <t>PAG 100 AR6 - FE kgCO2eq/Unidade</t>
  </si>
  <si>
    <t>PAG 20 AR6 - FE kgCO2eq/Unidade</t>
  </si>
  <si>
    <t>PAG 100 AR5 - FE kgCO2eq/Unidade</t>
  </si>
  <si>
    <t>PAG 20 AR5 - FE kgCO2eq/Unidade</t>
  </si>
  <si>
    <t>PAG 100 AR4 - FE kgCO2eq/Unidade</t>
  </si>
  <si>
    <t>PAG 20 AR4 - FE kgCO2eq/Unidade</t>
  </si>
  <si>
    <t>AC grande</t>
  </si>
  <si>
    <t>AC médio</t>
  </si>
  <si>
    <t>AC pequeno</t>
  </si>
  <si>
    <t>Qtd Ref</t>
  </si>
  <si>
    <t>NA</t>
  </si>
  <si>
    <t>Femi</t>
  </si>
  <si>
    <t>AC NIR APA 2023 Bus &amp; Coach</t>
  </si>
  <si>
    <t>Gás Ref</t>
  </si>
  <si>
    <t>Categoria</t>
  </si>
  <si>
    <t>SubTipo</t>
  </si>
  <si>
    <t>Gases Refrigerantes</t>
  </si>
  <si>
    <t>Combustíveis</t>
  </si>
  <si>
    <t>Equipamentos de AC</t>
  </si>
  <si>
    <t>AC EB515 15kW 93kg; 2,5kg r134a</t>
  </si>
  <si>
    <t>AC Olmo 34 SC 34kW 44kg; 3,5kg r134a</t>
  </si>
  <si>
    <t>AC EB353 32kW 121 kg; 5,5kg r134a</t>
  </si>
  <si>
    <t>AC Dreiha 12SC 11kW 38kg; 1,5kg r134a</t>
  </si>
  <si>
    <t>AC EB520 20kW 167kg; 3,0kg r134a</t>
  </si>
  <si>
    <t>Atividade</t>
  </si>
  <si>
    <t>Por Unidade de Custo Comprador</t>
  </si>
  <si>
    <t>FE kgCO2e / €</t>
  </si>
  <si>
    <t>FE kgCO2e / kg</t>
  </si>
  <si>
    <t>Peças Manutenção</t>
  </si>
  <si>
    <t>Por Unidade de Peso Material</t>
  </si>
  <si>
    <t>DT</t>
  </si>
  <si>
    <t>Ct</t>
  </si>
  <si>
    <t>RV</t>
  </si>
  <si>
    <t>BT</t>
  </si>
  <si>
    <t>RL</t>
  </si>
  <si>
    <t>Compras bens e serviços</t>
  </si>
  <si>
    <t>resíduos</t>
  </si>
  <si>
    <t>ton CO2eq</t>
  </si>
  <si>
    <t>Rodoviária de Lisboa</t>
  </si>
  <si>
    <t>Resíduos Perigosos</t>
  </si>
  <si>
    <t>Aterro</t>
  </si>
  <si>
    <t>Resíduos Não Perigosos</t>
  </si>
  <si>
    <t>Reciclagem/Reutilização</t>
  </si>
  <si>
    <t>Pneus Total</t>
  </si>
  <si>
    <t>Serv. Externo Manutenção</t>
  </si>
  <si>
    <t>nd</t>
  </si>
  <si>
    <t>Baterias</t>
  </si>
  <si>
    <t>Borrachas e Plásticos</t>
  </si>
  <si>
    <t>Vidros</t>
  </si>
  <si>
    <t>Madeiras e Derivados</t>
  </si>
  <si>
    <t>Químicos, Óleos e Massas</t>
  </si>
  <si>
    <t>Metais</t>
  </si>
  <si>
    <t>Outros</t>
  </si>
  <si>
    <t>Dados 2021?</t>
  </si>
  <si>
    <t>short ton</t>
  </si>
  <si>
    <t>metric ton</t>
  </si>
  <si>
    <t>EPA</t>
  </si>
  <si>
    <t>Rel Peg. Carbono 21</t>
  </si>
  <si>
    <t>Manutenção Geral</t>
  </si>
  <si>
    <t>Manutenção Serviços</t>
  </si>
  <si>
    <t>Nota:</t>
  </si>
  <si>
    <t>€ ~ 1,055 $</t>
  </si>
  <si>
    <t>média BT + RL</t>
  </si>
  <si>
    <t>Atlantic</t>
  </si>
  <si>
    <t>Manutenção Geral N3</t>
  </si>
  <si>
    <t>Manutenção Geral M3</t>
  </si>
  <si>
    <t>Manutenção Geral Pesado</t>
  </si>
  <si>
    <t>Resíduos Geral</t>
  </si>
  <si>
    <t>Destino</t>
  </si>
  <si>
    <t>FE kgCO2eq / km</t>
  </si>
  <si>
    <t>aterro</t>
  </si>
  <si>
    <t>Reciclagem</t>
  </si>
  <si>
    <t>FE gCO2e / kg</t>
  </si>
  <si>
    <t>Dados RL 21</t>
  </si>
  <si>
    <t>Combustion</t>
  </si>
  <si>
    <t>Landfill</t>
  </si>
  <si>
    <t>Waste type</t>
  </si>
  <si>
    <t>Other</t>
  </si>
  <si>
    <t>Books</t>
  </si>
  <si>
    <t>Glass</t>
  </si>
  <si>
    <t>Clothing</t>
  </si>
  <si>
    <t>Refuse</t>
  </si>
  <si>
    <t>Household residual waste</t>
  </si>
  <si>
    <t>Organic: food and drink waste</t>
  </si>
  <si>
    <t>Organic: garden waste</t>
  </si>
  <si>
    <t>Organic: mixed food and garden waste</t>
  </si>
  <si>
    <t>Commercial and industrial waste</t>
  </si>
  <si>
    <t>Electrical items</t>
  </si>
  <si>
    <t>WEEE - mixed</t>
  </si>
  <si>
    <t>Batteries</t>
  </si>
  <si>
    <t>Metal</t>
  </si>
  <si>
    <t>Metal: mixed cans</t>
  </si>
  <si>
    <t>Metal: scrap metal</t>
  </si>
  <si>
    <t>Metal: steel cans</t>
  </si>
  <si>
    <t>Plastic</t>
  </si>
  <si>
    <t>Plastics: average plastics</t>
  </si>
  <si>
    <t>Paper</t>
  </si>
  <si>
    <t>Paper and board: mixed</t>
  </si>
  <si>
    <t>Recycling</t>
  </si>
  <si>
    <t>Wood</t>
  </si>
  <si>
    <t>Construction</t>
  </si>
  <si>
    <t>Metals</t>
  </si>
  <si>
    <t>Mineral oil</t>
  </si>
  <si>
    <t>tonne.km</t>
  </si>
  <si>
    <t>Average (up to 3.5 tonnes)</t>
  </si>
  <si>
    <t>Combustível</t>
  </si>
  <si>
    <t>Plug-in HEV</t>
  </si>
  <si>
    <t>Net CV</t>
  </si>
  <si>
    <t>Gross CV</t>
  </si>
  <si>
    <t>Density</t>
  </si>
  <si>
    <t>Density
[note 1]</t>
  </si>
  <si>
    <t>GJ/tonne</t>
  </si>
  <si>
    <r>
      <t>kg/m</t>
    </r>
    <r>
      <rPr>
        <vertAlign val="superscript"/>
        <sz val="11"/>
        <color indexed="56"/>
        <rFont val="Calibri"/>
        <family val="2"/>
      </rPr>
      <t>3</t>
    </r>
  </si>
  <si>
    <t>litres/tonne</t>
  </si>
  <si>
    <t>kWh/kg</t>
  </si>
  <si>
    <t>kWh/litre</t>
  </si>
  <si>
    <t>Commonly Used Fossil Fuels</t>
  </si>
  <si>
    <t>Aviation Spirit</t>
  </si>
  <si>
    <t>Aviation Turbine Fuel</t>
  </si>
  <si>
    <t>Burning Oil</t>
  </si>
  <si>
    <t>Coking Coal</t>
  </si>
  <si>
    <t>Natural Gas</t>
  </si>
  <si>
    <t>Natural Gas (100% mineral blend)</t>
  </si>
  <si>
    <r>
      <t>kg/m</t>
    </r>
    <r>
      <rPr>
        <b/>
        <vertAlign val="superscript"/>
        <sz val="11"/>
        <color indexed="56"/>
        <rFont val="Calibri"/>
        <family val="2"/>
      </rPr>
      <t>3</t>
    </r>
  </si>
  <si>
    <t>Other fuels</t>
  </si>
  <si>
    <t>Biodiesel (ME)</t>
  </si>
  <si>
    <t>Biodiesel (BtL or HVO)</t>
  </si>
  <si>
    <t>BioETBE</t>
  </si>
  <si>
    <t xml:space="preserve">Biomethane </t>
  </si>
  <si>
    <t>Grasses/Straw</t>
  </si>
  <si>
    <t>Landfill Gas</t>
  </si>
  <si>
    <t>Wood Chips</t>
  </si>
  <si>
    <t>Wood Logs</t>
  </si>
  <si>
    <t>Wood Pellets</t>
  </si>
  <si>
    <t>Gases</t>
  </si>
  <si>
    <r>
      <t>Methane (CH</t>
    </r>
    <r>
      <rPr>
        <vertAlign val="subscript"/>
        <sz val="11"/>
        <color indexed="56"/>
        <rFont val="Arial"/>
        <family val="2"/>
      </rPr>
      <t>4</t>
    </r>
    <r>
      <rPr>
        <sz val="11"/>
        <color indexed="56"/>
        <rFont val="Arial"/>
        <family val="2"/>
      </rPr>
      <t>)</t>
    </r>
  </si>
  <si>
    <r>
      <t>Carbon Dioxide (CO</t>
    </r>
    <r>
      <rPr>
        <vertAlign val="subscript"/>
        <sz val="11"/>
        <color indexed="56"/>
        <rFont val="Arial"/>
        <family val="2"/>
      </rPr>
      <t>2</t>
    </r>
    <r>
      <rPr>
        <sz val="11"/>
        <color indexed="56"/>
        <rFont val="Arial"/>
        <family val="2"/>
      </rPr>
      <t>)</t>
    </r>
  </si>
  <si>
    <t>LCV/Van</t>
  </si>
  <si>
    <t>Transporte a montante: Entregas</t>
  </si>
  <si>
    <t>Perc. Médio km</t>
  </si>
  <si>
    <t>EPA ? GHG?</t>
  </si>
  <si>
    <t>Iceneração / Queima</t>
  </si>
  <si>
    <t>Papel e cartao</t>
  </si>
  <si>
    <t>Pneus</t>
  </si>
  <si>
    <t>Veiculos fim de vida</t>
  </si>
  <si>
    <t>Metais ferrosos</t>
  </si>
  <si>
    <t>Plástico</t>
  </si>
  <si>
    <t>Vidro</t>
  </si>
  <si>
    <t>Residuos urbanos</t>
  </si>
  <si>
    <t>Eq. Eletrónicos</t>
  </si>
  <si>
    <t>Metal Cst.</t>
  </si>
  <si>
    <t>Óleo Mineral</t>
  </si>
  <si>
    <t>FC</t>
  </si>
  <si>
    <t>l/l</t>
  </si>
  <si>
    <t>m3/l</t>
  </si>
  <si>
    <t>Obs</t>
  </si>
  <si>
    <t>kg/g</t>
  </si>
  <si>
    <t>kg/kg</t>
  </si>
  <si>
    <t>g/g</t>
  </si>
  <si>
    <t>ton/kg</t>
  </si>
  <si>
    <t>ton/g</t>
  </si>
  <si>
    <t>km/m</t>
  </si>
  <si>
    <t>km/km</t>
  </si>
  <si>
    <t>m/m</t>
  </si>
  <si>
    <t>kWh/kWh</t>
  </si>
  <si>
    <t>MWh/kWh</t>
  </si>
  <si>
    <t>GWh/kWh</t>
  </si>
  <si>
    <t>GWh/MWh</t>
  </si>
  <si>
    <t>GWh/GWh</t>
  </si>
  <si>
    <t>MWh/MWh</t>
  </si>
  <si>
    <t>Fuel Idx</t>
  </si>
  <si>
    <t>tonne/kg</t>
  </si>
  <si>
    <t>ton/ton</t>
  </si>
  <si>
    <t>ton/tonne</t>
  </si>
  <si>
    <t>tonne/g</t>
  </si>
  <si>
    <t>tonne/tonne</t>
  </si>
  <si>
    <t>tonne/ton</t>
  </si>
  <si>
    <t>kWh/MWh</t>
  </si>
  <si>
    <t>kWh/GWh</t>
  </si>
  <si>
    <t>PAG20 FE Energia AR5</t>
  </si>
  <si>
    <t>PAG 20 AR6</t>
  </si>
  <si>
    <t>g</t>
  </si>
  <si>
    <t>Unidade Emissões</t>
  </si>
  <si>
    <t>Unidade Energia</t>
  </si>
  <si>
    <t>g/kg</t>
  </si>
  <si>
    <t>g/ton</t>
  </si>
  <si>
    <t>Idx</t>
  </si>
  <si>
    <t>Eléctrica</t>
  </si>
  <si>
    <t>Location</t>
  </si>
  <si>
    <t>AIE: Eléctrica: Perdas Rede SEN: Portugal: 2022:: kWh</t>
  </si>
  <si>
    <t>AIE: Eléctrica: Perdas Rede SEN: Portugal: 2021:: kWh</t>
  </si>
  <si>
    <t>Observatório de Energia: Eléctrica: Perdas Rede SEN: Portugal: 2020:: kWh</t>
  </si>
  <si>
    <t>ERSE: Eléctrica: Perdas Rede SEN: Portugal: 2015:: kWh</t>
  </si>
  <si>
    <t>ERSE: Eléctrica: Perdas Rede SEN: Portugal: 2014:: kWh</t>
  </si>
  <si>
    <t>ERSE: Eléctrica: Perdas Rede SEN: Portugal: 2013:: kWh</t>
  </si>
  <si>
    <t>ERSE: Eléctrica: Perdas Rede SEN: Portugal: 2012:: kWh</t>
  </si>
  <si>
    <t>ERSE: Eléctrica: Perdas Rede SEN: Portugal: 2011:: kWh</t>
  </si>
  <si>
    <t>ERSE: Eléctrica: Perdas Rede SEN: Portugal: 2010:: kWh</t>
  </si>
  <si>
    <t>ERSE: Eléctrica: Perdas Rede SEN: Portugal: 2009:: kWh</t>
  </si>
  <si>
    <t>ERSE: Eléctrica: Perdas Rede SEN: Portugal: 2008:: kWh</t>
  </si>
  <si>
    <t>ERSE: Eléctrica: Perdas Rede SEN: Portugal: 2007:: kWh</t>
  </si>
  <si>
    <t>ERSE: Eléctrica: Perdas Rede SEN: Portugal: 2006:: kWh</t>
  </si>
  <si>
    <t>ERSE: Eléctrica: Perdas Rede SEN: Portugal: 2005:: kWh</t>
  </si>
  <si>
    <t>ERSE: Eléctrica: Perdas Rede SEN: Portugal: 2004:: kWh</t>
  </si>
  <si>
    <t>ERSE: Eléctrica: Perdas Rede SEN: Portugal: 2003:: kWh</t>
  </si>
  <si>
    <t>ERSE: Eléctrica: Perdas Rede SEN: Portugal: 2002:: kWh</t>
  </si>
  <si>
    <t>ERSE: Eléctrica: Perdas Rede SEN: Portugal: 2001:: kWh</t>
  </si>
  <si>
    <t>ERSE: Eléctrica: Perdas Rede SEN: Portugal: 2000:: kWh</t>
  </si>
  <si>
    <t>ERSE: Eléctrica: Perdas Rede SEN: Portugal: 1999:: kWh</t>
  </si>
  <si>
    <t>ERSE: Eléctrica: Perdas Rede SEN: Portugal: 1998:: kWh</t>
  </si>
  <si>
    <t>ERSE: Eléctrica: Perdas Rede SEN: Portugal: 1997:: kWh</t>
  </si>
  <si>
    <t>DEFRA: Eléctrica: Perdas Rede UK: UK: 2022:: kWh</t>
  </si>
  <si>
    <t>DEFRA: Eléctrica: Perdas Rede UK: UK: 2023:: kWh</t>
  </si>
  <si>
    <t>DEFRA: Butano: WTT: 2022:: tonnes</t>
  </si>
  <si>
    <t>DEFRA: Butano: WTT: 2022:: kg</t>
  </si>
  <si>
    <t>DEFRA: Butano: WTT: 2022:: l</t>
  </si>
  <si>
    <t>DEFRA: Butano: WTT: 2022:: kWh (Net CV)</t>
  </si>
  <si>
    <t>DEFRA: Butano: WTT: 2022:: kWh (Gross CV)</t>
  </si>
  <si>
    <t>DEFRA: GNC: WTT: 2022:: tonnes</t>
  </si>
  <si>
    <t>DEFRA: GNC: WTT: 2022:: kg</t>
  </si>
  <si>
    <t>DEFRA: GNC: WTT: 2022:: l</t>
  </si>
  <si>
    <t>DEFRA: GNC: WTT: 2022:: kWh (Net CV)</t>
  </si>
  <si>
    <t>DEFRA: GNC: WTT: 2022:: kWh (Gross CV)</t>
  </si>
  <si>
    <t>DEFRA: GNL: WTT: 2022:: tonnes</t>
  </si>
  <si>
    <t>DEFRA: GNL: WTT: 2022:: kg</t>
  </si>
  <si>
    <t>DEFRA: GNL: WTT: 2022:: l</t>
  </si>
  <si>
    <t>DEFRA: GNL: WTT: 2022:: kWh (Net CV)</t>
  </si>
  <si>
    <t>DEFRA: GNL: WTT: 2022:: kWh (Gross CV)</t>
  </si>
  <si>
    <t>DEFRA: GPL: WTT: 2022:: tonnes</t>
  </si>
  <si>
    <t>DEFRA: GPL: WTT: 2022:: kg</t>
  </si>
  <si>
    <t>DEFRA: GPL: WTT: 2022:: l</t>
  </si>
  <si>
    <t>DEFRA: GPL: WTT: 2022:: kWh (Net CV)</t>
  </si>
  <si>
    <t>DEFRA: GPL: WTT: 2022:: kWh (Gross CV)</t>
  </si>
  <si>
    <t>DEFRA: GN: WTT: 2022:: tonnes</t>
  </si>
  <si>
    <t>DEFRA: GN: WTT: 2022:: kg</t>
  </si>
  <si>
    <t>DEFRA: GN: WTT: 2022:: m3</t>
  </si>
  <si>
    <t>DEFRA: GN: WTT: 2022:: kWh (Net CV)</t>
  </si>
  <si>
    <t>DEFRA: GN: WTT: 2022:: kWh (Gross CV)</t>
  </si>
  <si>
    <t>DEFRA: GN (100% fossil): WTT: 2022:: tonnes</t>
  </si>
  <si>
    <t>DEFRA: GN (100% fossil): WTT: 2022:: kg</t>
  </si>
  <si>
    <t>DEFRA: GN (100% fossil): WTT: 2022:: m3</t>
  </si>
  <si>
    <t>DEFRA: GN (100% fossil): WTT: 2022:: kWh (Net CV)</t>
  </si>
  <si>
    <t>DEFRA: GN (100% fossil): WTT: 2022:: kWh (Gross CV)</t>
  </si>
  <si>
    <t>DEFRA: Propano: WTT: 2022:: kg</t>
  </si>
  <si>
    <t>DEFRA: Propano: WTT: 2022:: m3</t>
  </si>
  <si>
    <t>DEFRA: Propano: WTT: 2022:: l</t>
  </si>
  <si>
    <t>DEFRA: Propano: WTT: 2022:: kWh (Net CV)</t>
  </si>
  <si>
    <t>DEFRA: Propano: WTT: 2022:: kWh (Gross CV)</t>
  </si>
  <si>
    <t>DEFRA: Gasóleo: WTT: 2022:: tonnes</t>
  </si>
  <si>
    <t>DEFRA: Gasóleo: WTT: 2022:: kg</t>
  </si>
  <si>
    <t>DEFRA: Gasóleo: WTT: 2022:: l</t>
  </si>
  <si>
    <t>DEFRA: Gasóleo: WTT: 2022:: kWh (Net CV)</t>
  </si>
  <si>
    <t>DEFRA: Gasóleo: WTT: 2022:: kWh (Gross CV)</t>
  </si>
  <si>
    <t>DEFRA: Fuel oil: WTT: 2022:: tonnes</t>
  </si>
  <si>
    <t>DEFRA: Fuel oil: WTT: 2022:: kg</t>
  </si>
  <si>
    <t>DEFRA: Fuel oil: WTT: 2022:: l</t>
  </si>
  <si>
    <t>DEFRA: Fuel oil: WTT: 2022:: kWh (Net CV)</t>
  </si>
  <si>
    <t>DEFRA: Fuel oil: WTT: 2022:: kWh (Gross CV)</t>
  </si>
  <si>
    <t>DEFRA: Gas oil: WTT: 2022:: tonnes</t>
  </si>
  <si>
    <t>DEFRA: Gas oil: WTT: 2022:: kg</t>
  </si>
  <si>
    <t>DEFRA: Gas oil: WTT: 2022:: l</t>
  </si>
  <si>
    <t>DEFRA: Gas oil: WTT: 2022:: kWh (Net CV)</t>
  </si>
  <si>
    <t>DEFRA: Gas oil: WTT: 2022:: kWh (Gross CV)</t>
  </si>
  <si>
    <t>DEFRA: Gasolina: WTT: 2022:: tonnes</t>
  </si>
  <si>
    <t>DEFRA: Gasolina: WTT: 2022:: kg</t>
  </si>
  <si>
    <t>DEFRA: Gasolina: WTT: 2022:: l</t>
  </si>
  <si>
    <t>DEFRA: Gasolina: WTT: 2022:: kWh (Net CV)</t>
  </si>
  <si>
    <t>DEFRA: Gasolina: WTT: 2022:: kWh (Gross CV)</t>
  </si>
  <si>
    <t>Unid. FE</t>
  </si>
  <si>
    <t>Motor / Combustivel</t>
  </si>
  <si>
    <t>aux</t>
  </si>
  <si>
    <t>extrapolação GVW</t>
  </si>
  <si>
    <t>Material</t>
  </si>
  <si>
    <t>tonne.km/tonne.km</t>
  </si>
  <si>
    <t>tonne.km/kg.km</t>
  </si>
  <si>
    <t>kg.km/kg.km</t>
  </si>
  <si>
    <t>kg.km/tonne.km</t>
  </si>
  <si>
    <t>ton.km/ton.km</t>
  </si>
  <si>
    <t>ton.km/kg.km</t>
  </si>
  <si>
    <t>kg.km/ton.km</t>
  </si>
  <si>
    <t>Unidade/Unidade</t>
  </si>
  <si>
    <t>Unid./Unid.</t>
  </si>
  <si>
    <t>Água: Consumo + TAR</t>
  </si>
  <si>
    <t>Sub Cat</t>
  </si>
  <si>
    <t>Pesado de Passageiros M3: I : Gasóleo : Geral</t>
  </si>
  <si>
    <t>Pesado de Passageiros M3: I : GNC : Geral</t>
  </si>
  <si>
    <t>Pesado de Passageiros M3: I : GNL : Geral</t>
  </si>
  <si>
    <t>Pesado de Passageiros M3: II : Gasóleo : Geral</t>
  </si>
  <si>
    <t>Pesado de Passageiros M3: III : Gasóleo : Geral</t>
  </si>
  <si>
    <t>Pesado de Mercadorias N3: &lt;20 t : Gasóleo : Geral</t>
  </si>
  <si>
    <t>Pesado de Mercadorias N3: 20-28 t : Gasóleo : Geral</t>
  </si>
  <si>
    <t>Pesado de Mercadorias N3: &gt;28 t : Gasóleo : Geral</t>
  </si>
  <si>
    <t>Fonte Databank</t>
  </si>
  <si>
    <t>NIR 2023</t>
  </si>
  <si>
    <t>NIR 2021</t>
  </si>
  <si>
    <t>Nm3/Nm3</t>
  </si>
  <si>
    <t>HFC41</t>
  </si>
  <si>
    <t>Ano FE</t>
  </si>
  <si>
    <t>Naturgy</t>
  </si>
  <si>
    <t>Gold Energy</t>
  </si>
  <si>
    <t>base</t>
  </si>
  <si>
    <t>Universo GB: PC2021</t>
  </si>
  <si>
    <t>Rodocargo: PC2021</t>
  </si>
  <si>
    <t>Ribatejana Verde: PC2021</t>
  </si>
  <si>
    <t>Diana Tours / Prime Bus: PC2021</t>
  </si>
  <si>
    <t>Cityrama: PC2021</t>
  </si>
  <si>
    <t>Ligeiro Passageiros</t>
  </si>
  <si>
    <t>Hibrido ICE Gasóleo Plug-In</t>
  </si>
  <si>
    <t>European Life Cycle Assessment Results &amp; Fact Sheets (greenncap.com)</t>
  </si>
  <si>
    <t>HFC410a</t>
  </si>
  <si>
    <t>HFC417a</t>
  </si>
  <si>
    <t>HC600</t>
  </si>
  <si>
    <t>SU</t>
  </si>
  <si>
    <t>Iberdrola</t>
  </si>
  <si>
    <t>Iberdrola Genérica</t>
  </si>
  <si>
    <t>Iberdrola Verde</t>
  </si>
  <si>
    <t>Iberdrola Total</t>
  </si>
  <si>
    <t>Endesa Tarifa Verde</t>
  </si>
  <si>
    <t>Clorofluorcarbonetos, HCFC, HFC</t>
  </si>
  <si>
    <t>Barraqueiro Transportes, S.A.: PC2021</t>
  </si>
  <si>
    <t>Energia (tep/Qtd.)</t>
  </si>
  <si>
    <t>Energia (kWh/Qtd.)</t>
  </si>
  <si>
    <t>GNChp</t>
  </si>
  <si>
    <t>Tratamentos biológicos: compostagem</t>
  </si>
  <si>
    <t>t resíduo sólido enviado para compostagem</t>
  </si>
  <si>
    <t>NIR 2022</t>
  </si>
  <si>
    <t>Tratamentos biológicos: digestão anaeróbica</t>
  </si>
  <si>
    <t>t resíduo sólido enviado para digestão anaeróbia</t>
  </si>
  <si>
    <t>Varável</t>
  </si>
  <si>
    <t>Descrição</t>
  </si>
  <si>
    <t xml:space="preserve">Valor </t>
  </si>
  <si>
    <t>% condutor veículo</t>
  </si>
  <si>
    <t>Em 2021, percentagem de pessoas que conduziram para o trabalho</t>
  </si>
  <si>
    <t>%</t>
  </si>
  <si>
    <t>Censos 2021</t>
  </si>
  <si>
    <t>% passageiro veículo</t>
  </si>
  <si>
    <t>Em 2021, percentagem de pessoas que foram de carro para o trabalho como passageiros</t>
  </si>
  <si>
    <t>% transporte público</t>
  </si>
  <si>
    <t>Em 2021, percentagem de pessoas que foram para o trabalho em transporte público</t>
  </si>
  <si>
    <t>% modos suaves</t>
  </si>
  <si>
    <t>Em 2021, percentagem de pessoas que foram para o trabalho em modos suaves e a pé</t>
  </si>
  <si>
    <t>FE condutor de veículo</t>
  </si>
  <si>
    <t>Fator de emissão de veículo com um passageiro</t>
  </si>
  <si>
    <t>kg/km</t>
  </si>
  <si>
    <t>Média entre fatores para gasóleo e gasolina, dividido pelo fator de utilização</t>
  </si>
  <si>
    <t>FE passageiro de veículo</t>
  </si>
  <si>
    <t>Fator de emissão de veículo com dois passageiros</t>
  </si>
  <si>
    <t>FE transporte público</t>
  </si>
  <si>
    <t>Fator de emissão médio de transporte público (autocarro, comboio, metro e barco)</t>
  </si>
  <si>
    <t>Média entre fatores para autocarro, comboio, metro e ferry, dividido pelo fator de utilização (50%) do transporte rodoviário</t>
  </si>
  <si>
    <t>FE modos suaves</t>
  </si>
  <si>
    <t>Fator de emissão de modos suaves (não elétricos)</t>
  </si>
  <si>
    <t>Considera-se nulo</t>
  </si>
  <si>
    <t>Distância média viajada</t>
  </si>
  <si>
    <t>Distância média de deslocação casa-trabalho</t>
  </si>
  <si>
    <t>km</t>
  </si>
  <si>
    <t>valor médio assumido pela equipa</t>
  </si>
  <si>
    <t>Emissões médias calc APA</t>
  </si>
  <si>
    <t>Fator de emissão por tipo de transporte em ESTRADA</t>
  </si>
  <si>
    <t>Tabela 6. Fatores de emissão por frota e tipo de combustível (fonte: NIR 2022)</t>
  </si>
  <si>
    <t>Modo de transporte</t>
  </si>
  <si>
    <t>Fator emissão</t>
  </si>
  <si>
    <t>Utilização</t>
  </si>
  <si>
    <r>
      <t>CO</t>
    </r>
    <r>
      <rPr>
        <b/>
        <vertAlign val="subscript"/>
        <sz val="12"/>
        <color theme="0" tint="-4.9989318521683403E-2"/>
        <rFont val="Calibri"/>
        <family val="2"/>
        <scheme val="minor"/>
      </rPr>
      <t>2</t>
    </r>
  </si>
  <si>
    <r>
      <t>CH</t>
    </r>
    <r>
      <rPr>
        <b/>
        <vertAlign val="subscript"/>
        <sz val="12"/>
        <color theme="0" tint="-4.9989318521683403E-2"/>
        <rFont val="Calibri"/>
        <family val="2"/>
        <scheme val="minor"/>
      </rPr>
      <t>4</t>
    </r>
  </si>
  <si>
    <r>
      <t>N</t>
    </r>
    <r>
      <rPr>
        <b/>
        <vertAlign val="subscript"/>
        <sz val="12"/>
        <color theme="0" tint="-4.9989318521683403E-2"/>
        <rFont val="Calibri"/>
        <family val="2"/>
        <scheme val="minor"/>
      </rPr>
      <t>2</t>
    </r>
    <r>
      <rPr>
        <b/>
        <sz val="12"/>
        <color theme="0" tint="-4.9989318521683403E-2"/>
        <rFont val="Calibri"/>
        <family val="2"/>
        <scheme val="minor"/>
      </rPr>
      <t>O</t>
    </r>
  </si>
  <si>
    <t>valor</t>
  </si>
  <si>
    <t>unidades</t>
  </si>
  <si>
    <t>(passageiros)</t>
  </si>
  <si>
    <t>Autocarros e camionetas</t>
  </si>
  <si>
    <t>gasóleo</t>
  </si>
  <si>
    <t>Autocarro (gasóleo)</t>
  </si>
  <si>
    <t>Autocarro (gas natural/ GNL)</t>
  </si>
  <si>
    <t>Veículo ligeiro de passageiros</t>
  </si>
  <si>
    <t>Gasolina - motor desconhecido</t>
  </si>
  <si>
    <t xml:space="preserve">Veículo ligeiro de passageiros - Gasolina </t>
  </si>
  <si>
    <t>Híbrido - motor desconhecido</t>
  </si>
  <si>
    <t xml:space="preserve">Veículo ligeiro de passageiros - Híbrido </t>
  </si>
  <si>
    <t>Gasóleo - motor desconhecido</t>
  </si>
  <si>
    <t xml:space="preserve">Veículo ligeiro de passageiros - gasóleo </t>
  </si>
  <si>
    <t>GPL - motor de tamanho médio</t>
  </si>
  <si>
    <t xml:space="preserve">Veículo ligeiro de passageiros - GPL </t>
  </si>
  <si>
    <t>Veículo ligeiro de mercadorias</t>
  </si>
  <si>
    <t>Veículo ligeiro de mercadorias - gasolina</t>
  </si>
  <si>
    <t xml:space="preserve">Gasóleo </t>
  </si>
  <si>
    <t xml:space="preserve">Veículo ligeiro de mercadorias - gasóleo </t>
  </si>
  <si>
    <t>Mota</t>
  </si>
  <si>
    <t>Ciclomotores (trotinetes, vespas) - categoria L</t>
  </si>
  <si>
    <t>Motorciclo (motos, motas) - Categoria L</t>
  </si>
  <si>
    <t>Motociclo (motos, motas) - Categoria L</t>
  </si>
  <si>
    <t>Veículo pesado não articulado</t>
  </si>
  <si>
    <t>Veículo pesado - gasóleo</t>
  </si>
  <si>
    <t>Fator de emissão por tipo de transporte em CAMINHO DE FERRO</t>
  </si>
  <si>
    <t>Tabela 7. Fatores de emissão por frota e tipo de combustível (Fonte: GHG Protocol)</t>
  </si>
  <si>
    <t>Fator emissão - Diretas</t>
  </si>
  <si>
    <t>Transporte de passageiros</t>
  </si>
  <si>
    <t>Elétricos / tram</t>
  </si>
  <si>
    <t>kg/p.km</t>
  </si>
  <si>
    <t>Comboio</t>
  </si>
  <si>
    <t>Comboio - passageiros</t>
  </si>
  <si>
    <t>Metro</t>
  </si>
  <si>
    <t>Transporte de carga</t>
  </si>
  <si>
    <t>Comboio - carga</t>
  </si>
  <si>
    <t>kg/t.km</t>
  </si>
  <si>
    <t>Fator de emissão por tipo de transporte MARÍTIMO ou FLUVIAL</t>
  </si>
  <si>
    <t>Tabela 8. Fatores de emissão por frota e tipo de combustível (Fonte: GHG Protocol)</t>
  </si>
  <si>
    <t xml:space="preserve">Ferry </t>
  </si>
  <si>
    <t>Ferry - passageiros</t>
  </si>
  <si>
    <t>Navio de carga</t>
  </si>
  <si>
    <t>Ferry - carga</t>
  </si>
  <si>
    <t>Pequeno (844t de tara)</t>
  </si>
  <si>
    <t>Navio pequeno (até 18 370t de tara)</t>
  </si>
  <si>
    <t>Grande (18371t de tara)</t>
  </si>
  <si>
    <t>Navio grande (tara: entre 18 371t e 99 999t)</t>
  </si>
  <si>
    <t>Muito grande (100000t de tara)</t>
  </si>
  <si>
    <t>Navio muito grande (tara igual ou superior a 100 000t)</t>
  </si>
  <si>
    <t>Fator de emissão por tipo de transporte AÉREO</t>
  </si>
  <si>
    <t>Tabela 9. Fatores de emissão por frota e tipo de combustível (Fonte GHG Protocol)</t>
  </si>
  <si>
    <t>Voo doméstico (passageiros)</t>
  </si>
  <si>
    <t>Voo curto (passageiros)</t>
  </si>
  <si>
    <t>Voo longo (passageiros)</t>
  </si>
  <si>
    <t>Transporte de mercadorias</t>
  </si>
  <si>
    <t>Voo doméstico (carga)</t>
  </si>
  <si>
    <t>Voo curto (carga)</t>
  </si>
  <si>
    <t>Voo longo (carga)</t>
  </si>
  <si>
    <t>Fator de emissão por tipo de maquinaria móvel</t>
  </si>
  <si>
    <t>Tabela 10. Fatores de emissão por frota e tipo de combustível (Fonte GHG Protocol)</t>
  </si>
  <si>
    <t>Tipo de maquinaria</t>
  </si>
  <si>
    <t>Maquinaria agrícola e florestal</t>
  </si>
  <si>
    <t>Maquinaria comercial, institucional</t>
  </si>
  <si>
    <t>Maquinaria industrial</t>
  </si>
  <si>
    <t>Secção 3 - Fatores de emissão para emissões fugitivas</t>
  </si>
  <si>
    <t>Equipamentos de climatização e refrigeração</t>
  </si>
  <si>
    <t>Fonte: Tabela 7.9 do 2006 IPCC Guidelines for National Greenhouse Gas Inventories</t>
  </si>
  <si>
    <t xml:space="preserve">A. </t>
  </si>
  <si>
    <t xml:space="preserve">E. </t>
  </si>
  <si>
    <t>Perdas na Capacidade</t>
  </si>
  <si>
    <t>Recovery efficiency (média)</t>
  </si>
  <si>
    <t>Initial charge remaining</t>
  </si>
  <si>
    <t xml:space="preserve">Capacidade máxima equipamentos </t>
  </si>
  <si>
    <t>Valores default PAG gás (kg/kg) (a)</t>
  </si>
  <si>
    <t>Tipo de equipamento</t>
  </si>
  <si>
    <t>Perdas em Carga das unidades novas</t>
  </si>
  <si>
    <t>F.</t>
  </si>
  <si>
    <t xml:space="preserve">G. </t>
  </si>
  <si>
    <t>Unidades em operação</t>
  </si>
  <si>
    <t>Unidades dispensadas</t>
  </si>
  <si>
    <t>(mas atualmente a usar zero recuperação)</t>
  </si>
  <si>
    <t>Refrigeração Residencial</t>
  </si>
  <si>
    <t>Comercial Individual</t>
  </si>
  <si>
    <t>Comercial Médio / Grande</t>
  </si>
  <si>
    <t>Refrigeração de Transporte</t>
  </si>
  <si>
    <t>Refrigeração Industrial</t>
  </si>
  <si>
    <t xml:space="preserve">Frigorífico / Chiller </t>
  </si>
  <si>
    <t>Ar Condicionado Residencial / Comercial</t>
  </si>
  <si>
    <t>Ar Condicionado de Veículos Ligeiros de Passageiros e ligeiros de Mercadorias</t>
  </si>
  <si>
    <t>Ar Condicionado de Caminhões de Pequeno Porte</t>
  </si>
  <si>
    <t>(a) Fonte: Regulamento EU n.°517/2014 /Diretiva MAC (Anexo III)</t>
  </si>
  <si>
    <t>Maquinaria agrícola e florestal - Gasóleo / óleo diesel (fuelóleo destilado)</t>
  </si>
  <si>
    <t>Gasóleo / óleo diesel (fuelóleo destilado)</t>
  </si>
  <si>
    <t>Litros</t>
  </si>
  <si>
    <t>Maquinaria agrícola e florestal - Gasolina para motores</t>
  </si>
  <si>
    <t>Gasolina para motores</t>
  </si>
  <si>
    <t>Maquinaria agrícola e florestal - Gás Natural</t>
  </si>
  <si>
    <t>Gás Natural</t>
  </si>
  <si>
    <t>Maquinaria agrícola e florestal - Biodiesel</t>
  </si>
  <si>
    <t>Maquinaria agrícola e florestal - Biogasolina</t>
  </si>
  <si>
    <t>Biogasolina</t>
  </si>
  <si>
    <t>Maquinaria comercial, institucional - Gasóleo / óleo diesel (fuelóleo destilado)</t>
  </si>
  <si>
    <t>Maquinaria comercial, institucional - Gasolina para motores</t>
  </si>
  <si>
    <t>Maquinaria comercial, institucional - Gás Natural</t>
  </si>
  <si>
    <t>Maquinaria comercial, institucional - Biodiesel</t>
  </si>
  <si>
    <t>Maquinaria comercial, institucional - Biogasolina</t>
  </si>
  <si>
    <t>Maquinaria industrial - Gasóleo / óleo diesel (fuelóleo destilado)</t>
  </si>
  <si>
    <t>Maquinaria industrial - Gasolina para motores</t>
  </si>
  <si>
    <t>Maquinaria industrial - Gás Natural</t>
  </si>
  <si>
    <t>Maquinaria industrial - Biodiesel</t>
  </si>
  <si>
    <t>Maquinaria industrial - Biogasolina</t>
  </si>
  <si>
    <t>Combustível correspondente adotado pelo IPCC</t>
  </si>
  <si>
    <t>Unidades</t>
  </si>
  <si>
    <t>Poder Calorífico
Inferior (PCI)</t>
  </si>
  <si>
    <t>Fatores de Emissão</t>
  </si>
  <si>
    <t>Fatores de Emissão (unidades originais) - IPCC (2006)</t>
  </si>
  <si>
    <r>
      <t>CH</t>
    </r>
    <r>
      <rPr>
        <b/>
        <vertAlign val="subscript"/>
        <sz val="12"/>
        <color theme="0"/>
        <rFont val="Calibri"/>
        <family val="2"/>
        <scheme val="minor"/>
      </rPr>
      <t>4</t>
    </r>
    <r>
      <rPr>
        <b/>
        <sz val="12"/>
        <color theme="0"/>
        <rFont val="Calibri"/>
        <family val="2"/>
        <scheme val="minor"/>
      </rPr>
      <t xml:space="preserve"> (kg/TJ) por setor de atividade</t>
    </r>
  </si>
  <si>
    <r>
      <t>N</t>
    </r>
    <r>
      <rPr>
        <b/>
        <vertAlign val="subscript"/>
        <sz val="12"/>
        <color theme="0"/>
        <rFont val="Calibri"/>
        <family val="2"/>
        <scheme val="minor"/>
      </rPr>
      <t>2</t>
    </r>
    <r>
      <rPr>
        <b/>
        <sz val="12"/>
        <color theme="0"/>
        <rFont val="Calibri"/>
        <family val="2"/>
        <scheme val="minor"/>
      </rPr>
      <t>O (kg/TJ) por setor de atividade</t>
    </r>
  </si>
  <si>
    <t>(MJ/unid)</t>
  </si>
  <si>
    <t>(kg/TJ)</t>
  </si>
  <si>
    <r>
      <t>CO</t>
    </r>
    <r>
      <rPr>
        <b/>
        <vertAlign val="subscript"/>
        <sz val="12"/>
        <color theme="0"/>
        <rFont val="Calibri"/>
        <family val="2"/>
        <scheme val="minor"/>
      </rPr>
      <t>2</t>
    </r>
    <r>
      <rPr>
        <b/>
        <sz val="12"/>
        <color theme="0"/>
        <rFont val="Calibri"/>
        <family val="2"/>
        <scheme val="minor"/>
      </rPr>
      <t xml:space="preserve"> (kg/un)</t>
    </r>
  </si>
  <si>
    <t>Manufatura ou Construção</t>
  </si>
  <si>
    <t>Comercial ou Institucional</t>
  </si>
  <si>
    <t>Residencial, Agricultura ou Floresta</t>
  </si>
  <si>
    <t>Antracite</t>
  </si>
  <si>
    <t>Anthracite</t>
  </si>
  <si>
    <t>Toneladas</t>
  </si>
  <si>
    <t>Despacho n.º 17313/2008</t>
  </si>
  <si>
    <t>Alcatrão de hulha</t>
  </si>
  <si>
    <t>Coal Tar</t>
  </si>
  <si>
    <t>Betume</t>
  </si>
  <si>
    <t>Bitumen</t>
  </si>
  <si>
    <t>Briquetes de linhite</t>
  </si>
  <si>
    <t>Brown coal briquettes</t>
  </si>
  <si>
    <t>Ceras Parafínicas</t>
  </si>
  <si>
    <t>Paraffin Waxes</t>
  </si>
  <si>
    <t>Despacho n.º 17313/2009</t>
  </si>
  <si>
    <t>Despacho n.º 17313/2008 / IPCC 2006</t>
  </si>
  <si>
    <t>Carvão de coque</t>
  </si>
  <si>
    <t>Coque de forno de coque e coque de linhite</t>
  </si>
  <si>
    <t>Coke Oven Coke and Lignite Coke</t>
  </si>
  <si>
    <t>Coque de Petróleo</t>
  </si>
  <si>
    <t>Petroleum Coke</t>
  </si>
  <si>
    <t>Etano</t>
  </si>
  <si>
    <t>Ethane</t>
  </si>
  <si>
    <t>Fuelóleo</t>
  </si>
  <si>
    <t>Residual Fuel Oil</t>
  </si>
  <si>
    <t>Despacho n.º 17313/2008; Densidade: APA, https://apambiente.pt/sites/default/files/_Clima/CELE/Tabelas_Fatores_Calculo/tabela_densidades_combustiveis_2013.pdf</t>
  </si>
  <si>
    <t>Gás de Alto Forno</t>
  </si>
  <si>
    <t>Blast furnace gas</t>
  </si>
  <si>
    <t xml:space="preserve">Gás de Coqueria </t>
  </si>
  <si>
    <t>Coke Oven Gas</t>
  </si>
  <si>
    <t>Gás produzido em fábricas</t>
  </si>
  <si>
    <t>Gas Works Gas</t>
  </si>
  <si>
    <t>Gás de forno de aciaria de oxigénio</t>
  </si>
  <si>
    <t>Oxygen steel furnace gas</t>
  </si>
  <si>
    <t>GPL - Gás de Petróleo Liquefeito</t>
  </si>
  <si>
    <t>Liquefied Petroleum Gases</t>
  </si>
  <si>
    <t>Despacho n.º 17313/2008; desnidade: REPSOL - https://www.repsol.pt/content/dam/repsol-portugal/gas-da-repsol/FDS-GPL-CARBURANTE-rev.5.1_tcm101-201700.pdf</t>
  </si>
  <si>
    <t>Gás de Refinaria (não liquefeito)</t>
  </si>
  <si>
    <t>Refinery Gas</t>
  </si>
  <si>
    <r>
      <t>m</t>
    </r>
    <r>
      <rPr>
        <vertAlign val="superscript"/>
        <sz val="12"/>
        <rFont val="Calibri"/>
        <family val="2"/>
        <scheme val="minor"/>
      </rPr>
      <t>3</t>
    </r>
  </si>
  <si>
    <t>Estimado com base no Despacho e IPCC</t>
  </si>
  <si>
    <t>Gás Natural (superior a 93% de metano)</t>
  </si>
  <si>
    <t>m³</t>
  </si>
  <si>
    <t>LGN - Gás Natural Liquefeito</t>
  </si>
  <si>
    <t>Natural Gas Liquids</t>
  </si>
  <si>
    <t>Gas/ Diesel Oil</t>
  </si>
  <si>
    <t>Motor Gasoline</t>
  </si>
  <si>
    <t xml:space="preserve">PCI - Despacho n.º 17313/2008; densidade - https://www.engineeringtoolbox.com/fuels-densities-specific-volumes-d_166.html </t>
  </si>
  <si>
    <t>Gasolina de Aviação</t>
  </si>
  <si>
    <t>Aviation Gasoline</t>
  </si>
  <si>
    <t>IPCC 2006</t>
  </si>
  <si>
    <t>Gasolina tipo Jet Fuel (nafta tipo Jet Fuel ou JP4)</t>
  </si>
  <si>
    <t>Jet Gasoline</t>
  </si>
  <si>
    <t>Linhite</t>
  </si>
  <si>
    <t>Lignite</t>
  </si>
  <si>
    <t>Linhite preta</t>
  </si>
  <si>
    <t>Lignite Coke</t>
  </si>
  <si>
    <t>Lubrificantes</t>
  </si>
  <si>
    <t>Matérias-primas para refinarias</t>
  </si>
  <si>
    <t>Refinery Feedstoks</t>
  </si>
  <si>
    <t xml:space="preserve">Nafta </t>
  </si>
  <si>
    <t>Despacho. Densidade:  https://www.ilo.org/dyn/icsc/showcard.display?p_lang=pt&amp;p_card_id=1380&amp;p_version=2</t>
  </si>
  <si>
    <t>Óleo de Xisto</t>
  </si>
  <si>
    <t>Shale Oil</t>
  </si>
  <si>
    <t>Óleos Usados</t>
  </si>
  <si>
    <t>Waste Oils</t>
  </si>
  <si>
    <t>Orimulsão</t>
  </si>
  <si>
    <t>Orimulsion</t>
  </si>
  <si>
    <t>Outros Carvões Betuminosos</t>
  </si>
  <si>
    <t>Other Bituminous Coal</t>
  </si>
  <si>
    <t>Petróleo Bruto</t>
  </si>
  <si>
    <t>Crude Oil</t>
  </si>
  <si>
    <t>Despacho n.º 17313/2008; Density: https://www.transmountain.com/about-petroleum-liquids#:~:text=Crude%20oil%20has%20historically%20been,per%20cent%20that%20of%20water).</t>
  </si>
  <si>
    <t>Querosene tipo Jet Fuel</t>
  </si>
  <si>
    <t>Jet Kerosene</t>
  </si>
  <si>
    <t>Despacho n.º 17313/2008; density: https://www.engineeringtoolbox.com/fuels-densities-specific-volumes-d_166.html</t>
  </si>
  <si>
    <t>Resíduos municipais (fração não biodegradável)</t>
  </si>
  <si>
    <t>Municipal Wastes (non-biomass fraction)</t>
  </si>
  <si>
    <t>Xisto Betuminoso e Areias Betuminosas</t>
  </si>
  <si>
    <t>Oil Shale and Tar Sands</t>
  </si>
  <si>
    <t>Biodiesels</t>
  </si>
  <si>
    <t>Biogasoline</t>
  </si>
  <si>
    <t>Carvão Vegetal</t>
  </si>
  <si>
    <t>Charcoal</t>
  </si>
  <si>
    <t>Gases de Lamas de Depuração</t>
  </si>
  <si>
    <t>Sludge Gas</t>
  </si>
  <si>
    <t>Madeira, resíduos de madeira e outros resíduos sólidos</t>
  </si>
  <si>
    <t>Wood / Wood Waste</t>
  </si>
  <si>
    <t>Outra Biomassa Primária Sólida</t>
  </si>
  <si>
    <t>Other Primary Solid Biomass</t>
  </si>
  <si>
    <t>Outros Biocombustíveis Líquidos</t>
  </si>
  <si>
    <t>Other Liquid Biofuels</t>
  </si>
  <si>
    <t>Resíduos Municipais (fração biodegradável)</t>
  </si>
  <si>
    <t>Municipal Wastes (biomass fraction)</t>
  </si>
  <si>
    <t>Turfa</t>
  </si>
  <si>
    <t>Peat</t>
  </si>
  <si>
    <t>FE produção de combustível (kgGEE/unid)</t>
  </si>
  <si>
    <t>Definições dos combustíveis</t>
  </si>
  <si>
    <t>Hulha de alta qualidade utilizada para aplicações industriais e residenciais. Tem em geral menos de 10 % de matéria volátil e um conteúdo de carbono elevado (cerca de 90 % de carbono fixo). O seu poder calorífico superior ultrapassa 23 865 kJ/kg (5 700 kcal/kg), medido sem cinzas, mas com humidade.</t>
  </si>
  <si>
    <t>-</t>
  </si>
  <si>
    <t>Combustível composto manufacturado a partir de finos de hulha com adição de um aglomerante. A quantidade de briquetes produzida pode, assim, ser ligeiramente mais elevada que a quantidade efectiva de hulha consumida no processo de transformação.</t>
  </si>
  <si>
    <t>Hulha betuminosa com uma qualidade que permite a produção de um coque susceptível de utilização em altos-fornos. O seu poder calorífico superior ultrapassa 23 865 kJ/kg (5700 kcal/kg), medido sem cinzas, mas com humidade.</t>
  </si>
  <si>
    <t>Produto sólido obtido da carbonização de carvão, principalmente carvão de coque, a temperatura elevada, com baixo teor de humidade e de matéria volátil. O coque de forno de coque é utilizado principalmente na indústria siderúrgica, actuando como fonte de energia e agente químico. O pó de carvão e o coque de fundição incluem-se nesta categoria. O semicoque (um produto sólido obtido da carbonização do carvão a baixa temperatura) deve ser incluído nesta categoria. O semicoque é utilizado como combustível doméstico ou pela própria unidade de transformação. Esta rubrica inclui igualmente o coque, o pó de carvão e o semicoque feitos a partir de linhite.</t>
  </si>
  <si>
    <r>
      <t>Hidrocarboneto (C</t>
    </r>
    <r>
      <rPr>
        <vertAlign val="subscript"/>
        <sz val="12"/>
        <rFont val="Calibri"/>
        <family val="2"/>
        <scheme val="minor"/>
      </rPr>
      <t>2</t>
    </r>
    <r>
      <rPr>
        <sz val="12"/>
        <rFont val="Calibri"/>
        <family val="2"/>
        <scheme val="minor"/>
      </rPr>
      <t>H</t>
    </r>
    <r>
      <rPr>
        <vertAlign val="subscript"/>
        <sz val="12"/>
        <rFont val="Calibri"/>
        <family val="2"/>
        <scheme val="minor"/>
      </rPr>
      <t>6</t>
    </r>
    <r>
      <rPr>
        <sz val="12"/>
        <rFont val="Calibri"/>
        <family val="2"/>
        <scheme val="minor"/>
      </rPr>
      <t>) de cadeia linear, gasosos no estado natural, extraído do gás natural e dos gases de refinaria.</t>
    </r>
  </si>
  <si>
    <t>Subproduto da produção de aço numa fornalha de oxigénio, recuperado à saída da fornalha. O gás é igualmente conhecido como gás de conversor, gás LD ou gás BOS</t>
  </si>
  <si>
    <t>Subproduto da fabricação de coque de forno de coque para a produção de ferro e aço.</t>
  </si>
  <si>
    <t>Abrange todos os tipos de gases produzidos em instalações de serviços públicos ou em empresas privadas cuja actividade principal seja a produção, o transporte e a distribuição de gás. Inclui o gás produzido por carbonização (incluindo o gás produzido por fornos de coque e transferido para a categoria de gás produzido em fábricas), por gaseificação total com ou sem enriquecimento com produtos petrolíferos (GPL, fuelóleo residual, etc.) e por reforma e simples mistura de gases e/ou ar, declarada na parte relativa a «De outras fontes». No sector de transformação figuram as quantidades de gás produzido em fábricas transferidas para a rubrica de misturas com gás natural distribuídas e consumidas através da rede de gás natural. A produção de outros gases de hulha (ou seja, gás de forno de coque, gás de alto--forno e gás de forno de aciaria de oxigénio) deve ser declarada nas colunas referentes a esses gases, e não como produção de gás em fábricas. Os gases de hulha transferidos para fábricas de gás devem então ser declarados (na sua própria coluna) no sector de transformação na linha das fábricas de gás. A quantidade total de gás produzido em fábricas resultante de transferências de outros gases de hulha deve aparecer na parte relativa à produção de gás em fábricas.</t>
  </si>
  <si>
    <r>
      <t>Hidrocarbonetos parafínicos claros obtidos dos processos de refinação e nas instalações de estabilização do petróleo bruto e de transformação de gás natural. São constituídos principalmente por propano (C</t>
    </r>
    <r>
      <rPr>
        <vertAlign val="subscript"/>
        <sz val="12"/>
        <rFont val="Calibri"/>
        <family val="2"/>
        <scheme val="minor"/>
      </rPr>
      <t>3</t>
    </r>
    <r>
      <rPr>
        <sz val="12"/>
        <rFont val="Calibri"/>
        <family val="2"/>
        <scheme val="minor"/>
      </rPr>
      <t>H</t>
    </r>
    <r>
      <rPr>
        <vertAlign val="subscript"/>
        <sz val="12"/>
        <rFont val="Calibri"/>
        <family val="2"/>
        <scheme val="minor"/>
      </rPr>
      <t>8</t>
    </r>
    <r>
      <rPr>
        <sz val="12"/>
        <rFont val="Calibri"/>
        <family val="2"/>
        <scheme val="minor"/>
      </rPr>
      <t>) e butano (C</t>
    </r>
    <r>
      <rPr>
        <vertAlign val="subscript"/>
        <sz val="12"/>
        <rFont val="Calibri"/>
        <family val="2"/>
        <scheme val="minor"/>
      </rPr>
      <t>4</t>
    </r>
    <r>
      <rPr>
        <sz val="12"/>
        <rFont val="Calibri"/>
        <family val="2"/>
        <scheme val="minor"/>
      </rPr>
      <t>H</t>
    </r>
    <r>
      <rPr>
        <vertAlign val="subscript"/>
        <sz val="12"/>
        <rFont val="Calibri"/>
        <family val="2"/>
        <scheme val="minor"/>
      </rPr>
      <t>10</t>
    </r>
    <r>
      <rPr>
        <sz val="12"/>
        <rFont val="Calibri"/>
        <family val="2"/>
        <scheme val="minor"/>
      </rPr>
      <t>) ou por uma combinação dos dois. Podem igualmente incluir propileno, butileno, isopropileno e isobutileno. Os GPL são normalmente liquefeitos sob pressão para o transporte e a armazenagem.</t>
    </r>
  </si>
  <si>
    <t>O gás natural deve incluir: (1) Gás natural misturado (por vezes também designado por Town Gas ou City Gas), um gás de elevado poder calorífico obtido através de uma mistura de gás natural com outros gases; (2) Gás de cidade, um gás de elevado poder calorífico obtido através de uma mistura de gás natural com outros gases derivados de outros produtos primários, e normalmente distribuído através da rede de gás natural (por exemplo, metano de jazidas de carvão); (3) Gás natural de substituição, um gás de elevado poder calorífico, fabricado por conversão química de um combustível fóssil hidrocarboneto, em que as principais matérias-primas são: gás natural, carvão, petróleo e xisto betuminoso.</t>
  </si>
  <si>
    <t>Hidrocarbonetos líquidos ou liquefeitos extraídos do gás natural em instalações de separação ou instalações de transformação do gás. Os líquidos de gás natural incluem o etano, o propano, o butano (normal e iso), (iso)pentano e pentanos plus (muitas vezes referidos como gasolina natural ou condensado de fábrica).</t>
  </si>
  <si>
    <t>O gasóleo/óleo diesel é, antes de mais, um destilado médio que destila entre 180 oC e 380 oC. Inclui os componentes para mistura.</t>
  </si>
  <si>
    <r>
      <t>A gasolina para motores é constituída por uma mistura de hidrocarbonetos leves que destilam entre 35</t>
    </r>
    <r>
      <rPr>
        <vertAlign val="superscript"/>
        <sz val="12"/>
        <rFont val="Calibri"/>
        <family val="2"/>
        <scheme val="minor"/>
      </rPr>
      <t>o</t>
    </r>
    <r>
      <rPr>
        <sz val="12"/>
        <rFont val="Calibri"/>
        <family val="2"/>
        <scheme val="minor"/>
      </rPr>
      <t>C e 215oC. É utilizada como combustível para motores de ignição comandada de veículos terrestres. A gasolina para motores pode incluir aditivos, oxigenatos e incrementadores de octanas, incluindo compostos de chumbo, como TEL e TML. Inclui os compostos para mistura com gasolina para motores (excluindo aditivos/ /oxigenatos), como alquilatos, isomeratos, produtos reformados, gasolina de craqueamento destinada a utilização final em motores.</t>
    </r>
  </si>
  <si>
    <t xml:space="preserve"> Hulha não aglutinante com um poder calorífico superior inferior a 17 435 kJ/kg (4 165 kcal/kg) e mais de 31 % de matéria volátil para um produto seco sem matérias minerais. O xisto betuminoso e as areias asfálticas produzidos e queimados directamente devem ser declarados nesta categoria. O xisto betuminoso e as areias asfálticas utilizados como entradas para outros processos de transformação devem igualmente ser declarados nesta categoria. Inclui-se a parte de xisto betuminoso ou de areias asfálticas consumida no processo de transformação. O óleo de xisto e outros produtos derivados da liquefacção devem ser declarados no questionário anual sobre o petróleo. </t>
  </si>
  <si>
    <t>Hidrocarbonetos produzidos a partir de subprodutos da destilação; são utilizados principalmente para reduzir a fricção entre superfícies de apoio. Incluem todos os tipos acabados de óleos lubrificantes, desde óleo para engrenagens a óleo para cilindros, e os utilizados em massas lubrificantes, óleos de motor e todos os tipos de substâncias de base para óleos lubrificantes.</t>
  </si>
  <si>
    <t>Óleos transformados destinados a outra transformação nas refinarias (por exemplo, óleo combustível de destilação directa, também conhecido como óleo para gás a vácuo), excluindo as misturas. Com a transformação ulterior, será transformado em um ou mais componentes e/ou produtos acabados. Esta definição cobre igualmente os produtos devolvidos pela indústria petroquímica à indústria de refinação (por exemplo, gasolina de pirólise, fracções C4, fracções de fuelóleo e gasóleo).</t>
  </si>
  <si>
    <r>
      <t>A nafta é uma matéria-prima destinada à indústria petroquímica (por exemplo, fabricação de etileno ou produção de compostos aromáticos) ou à produção de gasolina por reforma ou isomerização na refinaria. A nafta inclui o material que destila entre 30</t>
    </r>
    <r>
      <rPr>
        <vertAlign val="superscript"/>
        <sz val="12"/>
        <rFont val="Calibri"/>
        <family val="2"/>
        <scheme val="minor"/>
      </rPr>
      <t>o</t>
    </r>
    <r>
      <rPr>
        <sz val="12"/>
        <rFont val="Calibri"/>
        <family val="2"/>
        <scheme val="minor"/>
      </rPr>
      <t>C e 210</t>
    </r>
    <r>
      <rPr>
        <vertAlign val="superscript"/>
        <sz val="12"/>
        <rFont val="Calibri"/>
        <family val="2"/>
        <scheme val="minor"/>
      </rPr>
      <t>o</t>
    </r>
    <r>
      <rPr>
        <sz val="12"/>
        <rFont val="Calibri"/>
        <family val="2"/>
        <scheme val="minor"/>
      </rPr>
      <t>C ou parte desta faixa.</t>
    </r>
  </si>
  <si>
    <t>Um óleo mineral extraído do xisto betuminoso.</t>
  </si>
  <si>
    <t>óleo mineral de origem natural composto por uma mistura de hidrocarbonetos e impurezas associadas, como o enxofre. Existe em fase líquida em condições normais de temperatura e pressão à superfície e as suas características físicas (densidade, viscosidade, etc.) são altamente variáveis. Esta categoria inclui os
condensados de campo ou de instalações extraídos dos gases associados e não associados, quando são misturados com o fluxo de petróleo bruto comercial.</t>
  </si>
  <si>
    <r>
      <t>Destilado utilizado para unidades de turbinas de aviação. Tem as mesmas características de destilação, entre 150</t>
    </r>
    <r>
      <rPr>
        <vertAlign val="superscript"/>
        <sz val="12"/>
        <rFont val="Calibri"/>
        <family val="2"/>
        <scheme val="minor"/>
      </rPr>
      <t>o</t>
    </r>
    <r>
      <rPr>
        <sz val="12"/>
        <rFont val="Calibri"/>
        <family val="2"/>
        <scheme val="minor"/>
      </rPr>
      <t>C e 300</t>
    </r>
    <r>
      <rPr>
        <vertAlign val="superscript"/>
        <sz val="12"/>
        <rFont val="Calibri"/>
        <family val="2"/>
        <scheme val="minor"/>
      </rPr>
      <t>o</t>
    </r>
    <r>
      <rPr>
        <sz val="12"/>
        <rFont val="Calibri"/>
        <family val="2"/>
        <scheme val="minor"/>
      </rPr>
      <t>C (em geral, não acima de 250</t>
    </r>
    <r>
      <rPr>
        <vertAlign val="superscript"/>
        <sz val="12"/>
        <rFont val="Calibri"/>
        <family val="2"/>
        <scheme val="minor"/>
      </rPr>
      <t>o</t>
    </r>
    <r>
      <rPr>
        <sz val="12"/>
        <rFont val="Calibri"/>
        <family val="2"/>
        <scheme val="minor"/>
      </rPr>
      <t>C), e o mesmo ponto de inflamação que o querosene. Além disso, tem especificações particulares (como o ponto de congelação) que são estabelecidas pela Associação Internacional do Transporte Aéreo (IATA). Inclui os compostos para mistura com o querosene.</t>
    </r>
  </si>
  <si>
    <t>A fração não proveniente de biomassa dos resíduos urbanos inclui os resíduos produzidos pelos agregados familiares, pela indústria, pelos hospitais e pelo sector terciário, que são incinerados em instalações específicas e utilizados para fins energéticos. Apenas a fração do combustível que não é biodegradável deve ser incluída aqui.</t>
  </si>
  <si>
    <t>O xisto betuminoso é uma rocha inorgânica, não porosa, que contém várias quantidades de material orgânico sólido que produz hidrocarbonetos, juntamente com uma variedade de produtos sólidos, quando submetido a pirólise (um tratamento que consiste em aquecer a rocha a alta temperatura). As areias betuminosas referem-se a areias (ou rochas carbonatadas porosas) que se encontram naturalmente misturadas com uma forma viscosa de petróleo bruto pesado, por vezes designado por betume. Devido à sua elevada viscosidade, este petróleo não pode ser recuperado através de métodos de recuperação convencionais.</t>
  </si>
  <si>
    <t>Biodiesel é um éster metílico produzido a partir de óleo vegetal ou animal, com qualidade de gasóleo.</t>
  </si>
  <si>
    <t>A biogasolina deve conter apenas a parte do combustível relacionada com as quantidades de biocombustível e não com o volume total de líquidos em que os biocombustíveis são misturados. Esta categoria inclui o bioetanol (etanol produzido a partir de biomassa e/ou da fracção biodegradável de resíduos) e o biometanol (metanol produzido a partir de biomassa e/ou da fracção biodegradável de resíduos). bioETBE (éter etil-ter-butílico produzido com base no bioetanol) e bioMTBE (éter metil-ter-butílico produzido com base no biometanol).</t>
  </si>
  <si>
    <t xml:space="preserve">O carvão vegetal utilizado como energia abrange o resíduo sólido da destilação destrutiva e da pirólise da madeira e de outras matérias vegetais. </t>
  </si>
  <si>
    <t>O gás de lamas é derivado da fermentação anaeróbica de biomassa e resíduos sólidos de esgotos e lamas animais e é queimado para produzir calor e/ou eletricidade.</t>
  </si>
  <si>
    <t>Madeira e resíduos de madeira queimados diretamente para produção de energia. Esta categoria inclui também a madeira para a produção de carvão vegetal, mas não a produção efetiva de carvão vegetal (o que constituiria uma dupla contagem, uma vez que o carvão vegetal é um produto secundário).</t>
  </si>
  <si>
    <t>Outros biocombustíveis líquidos não incluídos na biogasolina ou nos biodieseis.</t>
  </si>
  <si>
    <t>A fração de biomassa dos resíduos urbanos inclui os resíduos produzidos pelos agregados familiares, a indústria, os hospitais e o sector terciário que são incinerados em instalações específicas e utilizados para fins energéticos. Apenas a fração do combustível que é biodegradável deve ser incluída aqui.</t>
  </si>
  <si>
    <t xml:space="preserve"> Sedimento macio, poroso ou comprimido, combustível, de origem vegetal, com teor de água elevado (até 90 % no estado bruto), fácil de cortar, de cor castanha clara a escura. Não se inclui a turfa utilizada para fins não energéticos. A presente definição não prejudica a definição de fontes de energia renovável constante da Directiva 2001/77/CE e das directrizes IPCC para os inventários nacionais de gases com efeito de estufa (2006).</t>
  </si>
  <si>
    <t>Actividade Industrial</t>
  </si>
  <si>
    <t>EF implícito</t>
  </si>
  <si>
    <t>Unidade do FE</t>
  </si>
  <si>
    <t>Produto</t>
  </si>
  <si>
    <t>Unidade do produto</t>
  </si>
  <si>
    <t>1. Produção de cimento</t>
  </si>
  <si>
    <t>Clínquer</t>
  </si>
  <si>
    <t>t clínquer</t>
  </si>
  <si>
    <t>REA/CELE</t>
  </si>
  <si>
    <t>2. Produção de cal</t>
  </si>
  <si>
    <t>Cal</t>
  </si>
  <si>
    <t>t cal</t>
  </si>
  <si>
    <t>3. Produção de vidro</t>
  </si>
  <si>
    <t>t vidro</t>
  </si>
  <si>
    <t>4. Produção cerâmica</t>
  </si>
  <si>
    <t>Carbonatos consumidos</t>
  </si>
  <si>
    <t>t carbonatos consumidos</t>
  </si>
  <si>
    <t>5. Produção de ácido nítrico</t>
  </si>
  <si>
    <t>Ácido nítrico</t>
  </si>
  <si>
    <t>t ácido nítrico</t>
  </si>
  <si>
    <t>6. Produção de etileno</t>
  </si>
  <si>
    <t>Etileno</t>
  </si>
  <si>
    <t>t etileno</t>
  </si>
  <si>
    <t>IPCC 2006 Guidelines; Vol.3 IPPU; Chapter 3: Chemical Industry Emissions - Table 3.14</t>
  </si>
  <si>
    <t>7. Produção de aço</t>
  </si>
  <si>
    <t>Aço</t>
  </si>
  <si>
    <t>t aço</t>
  </si>
  <si>
    <t>8. Produção de chumbo</t>
  </si>
  <si>
    <t>Chumbo</t>
  </si>
  <si>
    <t>t chumbo</t>
  </si>
  <si>
    <t>IPCC 2006 Guidelines; Vol.3 IPPU; Chapter 4: Metal Industry Emissions - Table 4.21</t>
  </si>
  <si>
    <t>Processos</t>
  </si>
  <si>
    <t>FE</t>
  </si>
  <si>
    <t>Unidade funcional</t>
  </si>
  <si>
    <t>Deposição de resíduos em aterro</t>
  </si>
  <si>
    <t>t resíduo sólido enviado para deposição</t>
  </si>
  <si>
    <t>Incineração (sem recuperação de energia)</t>
  </si>
  <si>
    <t>t resíduo enviado para incineração</t>
  </si>
  <si>
    <t>Tratamento de águas residuais e efluentes (agrícolas, pecuários, industriais, ou outros)</t>
  </si>
  <si>
    <r>
      <t>m</t>
    </r>
    <r>
      <rPr>
        <vertAlign val="superscript"/>
        <sz val="12"/>
        <color theme="1"/>
        <rFont val="Calibri"/>
        <family val="2"/>
        <scheme val="minor"/>
      </rPr>
      <t>3</t>
    </r>
    <r>
      <rPr>
        <sz val="12"/>
        <color theme="1"/>
        <rFont val="Calibri"/>
        <family val="2"/>
        <scheme val="minor"/>
      </rPr>
      <t xml:space="preserve"> de águas residuais enviadas para tratamento ou descarregadas</t>
    </r>
  </si>
  <si>
    <t>Outros (ex.: queima de biogás)</t>
  </si>
  <si>
    <t>(indicar unidade no campo ao lado)</t>
  </si>
  <si>
    <t>Gás</t>
  </si>
  <si>
    <t>Família / Tipo</t>
  </si>
  <si>
    <r>
      <t xml:space="preserve">(AR5) PAG </t>
    </r>
    <r>
      <rPr>
        <b/>
        <vertAlign val="subscript"/>
        <sz val="12"/>
        <color theme="0" tint="-4.9989318521683403E-2"/>
        <rFont val="Calibri"/>
        <family val="2"/>
        <scheme val="minor"/>
      </rPr>
      <t>100 anos</t>
    </r>
  </si>
  <si>
    <t>Referência</t>
  </si>
  <si>
    <r>
      <t>Metano (CH</t>
    </r>
    <r>
      <rPr>
        <vertAlign val="subscript"/>
        <sz val="12"/>
        <rFont val="Calibri"/>
        <family val="2"/>
        <scheme val="minor"/>
      </rPr>
      <t>4</t>
    </r>
    <r>
      <rPr>
        <sz val="12"/>
        <rFont val="Calibri"/>
        <family val="2"/>
        <scheme val="minor"/>
      </rPr>
      <t>)</t>
    </r>
  </si>
  <si>
    <t>CFC-11</t>
  </si>
  <si>
    <t>CFC</t>
  </si>
  <si>
    <t>IPCC 2013</t>
  </si>
  <si>
    <r>
      <t>Óxido nitroso (N</t>
    </r>
    <r>
      <rPr>
        <vertAlign val="subscript"/>
        <sz val="12"/>
        <rFont val="Calibri"/>
        <family val="2"/>
        <scheme val="minor"/>
      </rPr>
      <t>2</t>
    </r>
    <r>
      <rPr>
        <sz val="12"/>
        <rFont val="Calibri"/>
        <family val="2"/>
        <scheme val="minor"/>
      </rPr>
      <t>O)</t>
    </r>
  </si>
  <si>
    <t>CFC-12</t>
  </si>
  <si>
    <r>
      <t>Hexafluoreto de enxofre (SF</t>
    </r>
    <r>
      <rPr>
        <vertAlign val="subscript"/>
        <sz val="12"/>
        <rFont val="Calibri"/>
        <family val="2"/>
        <scheme val="minor"/>
      </rPr>
      <t>6</t>
    </r>
    <r>
      <rPr>
        <sz val="12"/>
        <rFont val="Calibri"/>
        <family val="2"/>
        <scheme val="minor"/>
      </rPr>
      <t>)</t>
    </r>
  </si>
  <si>
    <r>
      <t>Trifluoreto de azoto (NF</t>
    </r>
    <r>
      <rPr>
        <vertAlign val="subscript"/>
        <sz val="12"/>
        <rFont val="Calibri"/>
        <family val="2"/>
        <scheme val="minor"/>
      </rPr>
      <t>3</t>
    </r>
    <r>
      <rPr>
        <sz val="12"/>
        <rFont val="Calibri"/>
        <family val="2"/>
        <scheme val="minor"/>
      </rPr>
      <t>)</t>
    </r>
  </si>
  <si>
    <r>
      <t>Dióxido de carbono (CO</t>
    </r>
    <r>
      <rPr>
        <vertAlign val="subscript"/>
        <sz val="12"/>
        <rFont val="Calibri"/>
        <family val="2"/>
        <scheme val="minor"/>
      </rPr>
      <t>2</t>
    </r>
    <r>
      <rPr>
        <sz val="12"/>
        <rFont val="Calibri"/>
        <family val="2"/>
        <scheme val="minor"/>
      </rPr>
      <t>)</t>
    </r>
  </si>
  <si>
    <t>HFC</t>
  </si>
  <si>
    <r>
      <t>Tetracloreto de carbono (CCl</t>
    </r>
    <r>
      <rPr>
        <vertAlign val="subscript"/>
        <sz val="12"/>
        <rFont val="Calibri"/>
        <family val="2"/>
        <scheme val="minor"/>
      </rPr>
      <t>4</t>
    </r>
    <r>
      <rPr>
        <sz val="12"/>
        <rFont val="Calibri"/>
        <family val="2"/>
        <scheme val="minor"/>
      </rPr>
      <t>)</t>
    </r>
  </si>
  <si>
    <r>
      <t>Bromometano (CH</t>
    </r>
    <r>
      <rPr>
        <vertAlign val="subscript"/>
        <sz val="12"/>
        <rFont val="Calibri"/>
        <family val="2"/>
        <scheme val="minor"/>
      </rPr>
      <t>3</t>
    </r>
    <r>
      <rPr>
        <sz val="12"/>
        <rFont val="Calibri"/>
        <family val="2"/>
        <scheme val="minor"/>
      </rPr>
      <t>Br)</t>
    </r>
  </si>
  <si>
    <r>
      <t>Methyl chloroform (CH</t>
    </r>
    <r>
      <rPr>
        <vertAlign val="subscript"/>
        <sz val="12"/>
        <rFont val="Calibri"/>
        <family val="2"/>
        <scheme val="minor"/>
      </rPr>
      <t>3</t>
    </r>
    <r>
      <rPr>
        <sz val="12"/>
        <rFont val="Calibri"/>
        <family val="2"/>
        <scheme val="minor"/>
      </rPr>
      <t>CCl</t>
    </r>
    <r>
      <rPr>
        <vertAlign val="subscript"/>
        <sz val="12"/>
        <rFont val="Calibri"/>
        <family val="2"/>
        <scheme val="minor"/>
      </rPr>
      <t>3</t>
    </r>
    <r>
      <rPr>
        <sz val="12"/>
        <rFont val="Calibri"/>
        <family val="2"/>
        <scheme val="minor"/>
      </rPr>
      <t>)</t>
    </r>
  </si>
  <si>
    <t>HCFC</t>
  </si>
  <si>
    <t>HCFC-22 (R22)</t>
  </si>
  <si>
    <t>Isoflurano</t>
  </si>
  <si>
    <t>HFE-236ea2</t>
  </si>
  <si>
    <t>Desflurano</t>
  </si>
  <si>
    <t>HFE-347mmz1</t>
  </si>
  <si>
    <t>Sevoflurano</t>
  </si>
  <si>
    <t>HFC-43-10mee</t>
  </si>
  <si>
    <t>C2F6(PFC-116)</t>
  </si>
  <si>
    <t>Hexafluoroetano</t>
  </si>
  <si>
    <t>PFC-14</t>
  </si>
  <si>
    <t>PFC</t>
  </si>
  <si>
    <t>C3F8 (PFC-218)</t>
  </si>
  <si>
    <t>Octofluorpropano</t>
  </si>
  <si>
    <t>PFC-116</t>
  </si>
  <si>
    <t>Outro</t>
  </si>
  <si>
    <t>PFC-218</t>
  </si>
  <si>
    <t>Nota: valores de PAG para um horizonte de 100 anos.</t>
  </si>
  <si>
    <t>PFC-318</t>
  </si>
  <si>
    <t>PFC-3-1-10</t>
  </si>
  <si>
    <t>PFC-4-1-12</t>
  </si>
  <si>
    <t>PFC-5-1-14</t>
  </si>
  <si>
    <r>
      <t>Trifluorometil pentafluoreto de enxofre (SF</t>
    </r>
    <r>
      <rPr>
        <vertAlign val="subscript"/>
        <sz val="12"/>
        <rFont val="Calibri"/>
        <family val="2"/>
        <scheme val="minor"/>
      </rPr>
      <t>5</t>
    </r>
    <r>
      <rPr>
        <sz val="12"/>
        <rFont val="Calibri"/>
        <family val="2"/>
        <scheme val="minor"/>
      </rPr>
      <t>CF</t>
    </r>
    <r>
      <rPr>
        <vertAlign val="subscript"/>
        <sz val="12"/>
        <rFont val="Calibri"/>
        <family val="2"/>
        <scheme val="minor"/>
      </rPr>
      <t>3</t>
    </r>
    <r>
      <rPr>
        <sz val="12"/>
        <rFont val="Calibri"/>
        <family val="2"/>
        <scheme val="minor"/>
      </rPr>
      <t>)</t>
    </r>
  </si>
  <si>
    <r>
      <t>Perfluorociclopropano (c-C</t>
    </r>
    <r>
      <rPr>
        <vertAlign val="subscript"/>
        <sz val="12"/>
        <rFont val="Calibri"/>
        <family val="2"/>
        <scheme val="minor"/>
      </rPr>
      <t>3</t>
    </r>
    <r>
      <rPr>
        <sz val="12"/>
        <rFont val="Calibri"/>
        <family val="2"/>
        <scheme val="minor"/>
      </rPr>
      <t>F</t>
    </r>
    <r>
      <rPr>
        <vertAlign val="subscript"/>
        <sz val="12"/>
        <rFont val="Calibri"/>
        <family val="2"/>
        <scheme val="minor"/>
      </rPr>
      <t>6</t>
    </r>
    <r>
      <rPr>
        <sz val="12"/>
        <rFont val="Calibri"/>
        <family val="2"/>
        <scheme val="minor"/>
      </rPr>
      <t>)</t>
    </r>
  </si>
  <si>
    <t>R-400</t>
  </si>
  <si>
    <t>Composto</t>
  </si>
  <si>
    <t>R-401A</t>
  </si>
  <si>
    <t>R-401B</t>
  </si>
  <si>
    <t>R-401C</t>
  </si>
  <si>
    <t>R-402A</t>
  </si>
  <si>
    <t>R-402B</t>
  </si>
  <si>
    <t>R-403A</t>
  </si>
  <si>
    <t>R-403B</t>
  </si>
  <si>
    <t>R-404A</t>
  </si>
  <si>
    <t>R-406A</t>
  </si>
  <si>
    <t>R-407A</t>
  </si>
  <si>
    <t>R-407B</t>
  </si>
  <si>
    <t>R-407C</t>
  </si>
  <si>
    <t>R-407D</t>
  </si>
  <si>
    <t>R-407E</t>
  </si>
  <si>
    <t>R-407F</t>
  </si>
  <si>
    <t>R-408A</t>
  </si>
  <si>
    <t>R-409A</t>
  </si>
  <si>
    <t>R-409B</t>
  </si>
  <si>
    <t>R-410A</t>
  </si>
  <si>
    <t>R-410B</t>
  </si>
  <si>
    <t>R-411A</t>
  </si>
  <si>
    <t>R-411B</t>
  </si>
  <si>
    <t>R-412A</t>
  </si>
  <si>
    <t>R-413A</t>
  </si>
  <si>
    <t>R-414A</t>
  </si>
  <si>
    <t>R-414B</t>
  </si>
  <si>
    <t>R-415A</t>
  </si>
  <si>
    <t>R-415B</t>
  </si>
  <si>
    <t>R-416A</t>
  </si>
  <si>
    <t>R-417A</t>
  </si>
  <si>
    <t>R-417B</t>
  </si>
  <si>
    <t>R-417C</t>
  </si>
  <si>
    <t>R-418A</t>
  </si>
  <si>
    <t>R-419A</t>
  </si>
  <si>
    <t>R-419B</t>
  </si>
  <si>
    <t>R-420A</t>
  </si>
  <si>
    <t>R-421A</t>
  </si>
  <si>
    <t>R-421B</t>
  </si>
  <si>
    <t>R-422A</t>
  </si>
  <si>
    <t>R-422B</t>
  </si>
  <si>
    <t>R-422C</t>
  </si>
  <si>
    <t>R-422D</t>
  </si>
  <si>
    <t>R-422E</t>
  </si>
  <si>
    <t>R-423A</t>
  </si>
  <si>
    <t>R-424A</t>
  </si>
  <si>
    <t>R-425A</t>
  </si>
  <si>
    <t>R-426A</t>
  </si>
  <si>
    <t>R-427A</t>
  </si>
  <si>
    <t>R-428A</t>
  </si>
  <si>
    <t>R-429A</t>
  </si>
  <si>
    <t>R-430A</t>
  </si>
  <si>
    <t>R-431A</t>
  </si>
  <si>
    <t>R-432A</t>
  </si>
  <si>
    <t>R-433A</t>
  </si>
  <si>
    <t>R-434A</t>
  </si>
  <si>
    <t>R-435A</t>
  </si>
  <si>
    <t>R-436A</t>
  </si>
  <si>
    <t>R-436B</t>
  </si>
  <si>
    <t>R-437A</t>
  </si>
  <si>
    <t>R-438A</t>
  </si>
  <si>
    <t>R-439A</t>
  </si>
  <si>
    <t>R-440A</t>
  </si>
  <si>
    <t>R-441A</t>
  </si>
  <si>
    <t>R-442A</t>
  </si>
  <si>
    <t>R-443A</t>
  </si>
  <si>
    <t>R-444A</t>
  </si>
  <si>
    <t>R-445A</t>
  </si>
  <si>
    <t>R-500</t>
  </si>
  <si>
    <t>R-501</t>
  </si>
  <si>
    <t>R-502</t>
  </si>
  <si>
    <t>R-503</t>
  </si>
  <si>
    <t>R-504</t>
  </si>
  <si>
    <t>R-505</t>
  </si>
  <si>
    <t>R-506</t>
  </si>
  <si>
    <t>R-507 ou R-507A</t>
  </si>
  <si>
    <t>R-508A</t>
  </si>
  <si>
    <t>R-508B</t>
  </si>
  <si>
    <t>R-509 ou R-509A</t>
  </si>
  <si>
    <t>R-510A</t>
  </si>
  <si>
    <t>R-511A</t>
  </si>
  <si>
    <t>R-512A</t>
  </si>
  <si>
    <t>Gás natural (metano)</t>
  </si>
  <si>
    <t>Nota: valores de GWP para um horizonte de 100 anos.</t>
  </si>
  <si>
    <t>média</t>
  </si>
  <si>
    <t>média gasoleo e gasolina</t>
  </si>
  <si>
    <t>Universal</t>
  </si>
  <si>
    <t>AMLP</t>
  </si>
  <si>
    <t>Resto PT</t>
  </si>
  <si>
    <t>VM</t>
  </si>
  <si>
    <t>mix</t>
  </si>
  <si>
    <t>APA PT: APA Calculadora 2024</t>
  </si>
  <si>
    <t>num pax</t>
  </si>
  <si>
    <t>Espécie</t>
  </si>
  <si>
    <r>
      <t>t CO</t>
    </r>
    <r>
      <rPr>
        <b/>
        <vertAlign val="subscript"/>
        <sz val="12"/>
        <color theme="0"/>
        <rFont val="Calibri"/>
        <family val="2"/>
        <scheme val="minor"/>
      </rPr>
      <t>2e</t>
    </r>
    <r>
      <rPr>
        <b/>
        <sz val="12"/>
        <color theme="0"/>
        <rFont val="Calibri"/>
        <family val="2"/>
        <scheme val="minor"/>
      </rPr>
      <t>/ha</t>
    </r>
  </si>
  <si>
    <t>Pinheiro-bravo</t>
  </si>
  <si>
    <t>Eucalipto</t>
  </si>
  <si>
    <t>Sobreiro</t>
  </si>
  <si>
    <t>Azinheira</t>
  </si>
  <si>
    <t>Carvalhos</t>
  </si>
  <si>
    <t>Pinheiro-manso</t>
  </si>
  <si>
    <t>Castanheiro</t>
  </si>
  <si>
    <t>Alfarrobeira</t>
  </si>
  <si>
    <t>Acácias</t>
  </si>
  <si>
    <t>Outras folhosas</t>
  </si>
  <si>
    <t>Outras resinosas</t>
  </si>
  <si>
    <t>Inventário Nacional de Emissões por Fontes e Remoção por Sumidouros de Poluentes Atmosféricos 2021</t>
  </si>
  <si>
    <t>Inventário Nacional de Emissões por Fontes e Remoção por Sumidouros de Poluentes Atmosféricos 2022</t>
  </si>
  <si>
    <t>Inventário Nacional de Emissões por Fontes e Remoção por Sumidouros de Poluentes Atmosféricos 2023</t>
  </si>
  <si>
    <t>Inventário Nacional de Emissões por Fontes e Remoção por Sumidouros de Poluentes Atmosféricos 2024</t>
  </si>
  <si>
    <t>Inventário Nacional de Emissões por Fontes e Remoção por Sumidouros de Poluentes Atmosféricos 2025</t>
  </si>
  <si>
    <t>Inventário Nacional de Emissões por Fontes e Remoção por Sumidouros de Poluentes Atmosféricos 2026</t>
  </si>
  <si>
    <t>Inventário Nacional de Emissões por Fontes e Remoção por Sumidouros de Poluentes Atmosféricos 2027</t>
  </si>
  <si>
    <t>Inventário Nacional de Emissões por Fontes e Remoção por Sumidouros de Poluentes Atmosféricos 2028</t>
  </si>
  <si>
    <t>Inventário Nacional de Emissões por Fontes e Remoção por Sumidouros de Poluentes Atmosféricos 2029</t>
  </si>
  <si>
    <t>Inventário Nacional de Emissões por Fontes e Remoção por Sumidouros de Poluentes Atmosféricos 2030</t>
  </si>
  <si>
    <t>Inventário Nacional de Emissões por Fontes e Remoção por Sumidouros de Poluentes Atmosféricos 2031</t>
  </si>
  <si>
    <t>MixIP</t>
  </si>
  <si>
    <t>LuzBoa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</si>
</sst>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8" formatCode="#,##0.00\ &quot;€&quot;;[Red]\-#,##0.00\ &quot;€&quot;"/>
    <numFmt numFmtId="44" formatCode="_-* #,##0.00\ &quot;€&quot;_-;\-* #,##0.00\ &quot;€&quot;_-;_-* &quot;-&quot;??\ &quot;€&quot;_-;_-@_-"/>
    <numFmt numFmtId="43" formatCode="_-* #,##0.00_-;\-* #,##0.00_-;_-* &quot;-&quot;??_-;_-@_-"/>
    <numFmt numFmtId="164" formatCode="0.000"/>
    <numFmt numFmtId="165" formatCode="??0.00"/>
    <numFmt numFmtId="166" formatCode="??0.00000"/>
    <numFmt numFmtId="167" formatCode="??0.0????"/>
    <numFmt numFmtId="168" formatCode="0.0000"/>
    <numFmt numFmtId="169" formatCode="0.0"/>
    <numFmt numFmtId="170" formatCode="0.00000"/>
    <numFmt numFmtId="171" formatCode="0.0%"/>
    <numFmt numFmtId="172" formatCode="_-* #,##0.0000\ &quot;€&quot;_-;\-* #,##0.0000\ &quot;€&quot;_-;_-* &quot;-&quot;??\ &quot;€&quot;_-;_-@_-"/>
    <numFmt numFmtId="173" formatCode="#,##0.000"/>
    <numFmt numFmtId="174" formatCode="??0.0?????"/>
    <numFmt numFmtId="175" formatCode="_-* #,##0_-;\-* #,##0_-;_-* &quot;-&quot;??_-;_-@_-"/>
    <numFmt numFmtId="176" formatCode="##0.0#####"/>
    <numFmt numFmtId="177" formatCode="#,##0.0####"/>
    <numFmt numFmtId="178" formatCode="0.000000"/>
    <numFmt numFmtId="179" formatCode="0.00000000000"/>
    <numFmt numFmtId="180" formatCode="_-* #,##0.000_-;\-* #,##0.000_-;_-* &quot;-&quot;??_-;_-@_-"/>
    <numFmt numFmtId="181" formatCode="0.0E+00"/>
    <numFmt numFmtId="182" formatCode="_-* #,##0.000\ _€_-;\-* #,##0.000\ _€_-;_-* &quot;-&quot;???\ _€_-;_-@_-"/>
    <numFmt numFmtId="183" formatCode="_-* #,##0.0000\ _€_-;\-* #,##0.0000\ _€_-;_-* &quot;-&quot;???\ _€_-;_-@_-"/>
    <numFmt numFmtId="184" formatCode="_-* #,##0.0_-;\-* #,##0.0_-;_-* &quot;-&quot;?_-;_-@_-"/>
    <numFmt numFmtId="185" formatCode="_-* #,##0.0000000\ _€_-;\-* #,##0.0000000\ _€_-;_-* &quot;-&quot;???\ _€_-;_-@_-"/>
    <numFmt numFmtId="186" formatCode="_-* #,##0.0000000\ _€_-;\-* #,##0.0000000\ _€_-;_-* &quot;-&quot;???????\ _€_-;_-@_-"/>
  </numFmts>
  <fonts count="42" x14ac:knownFonts="1">
    <font>
      <sz val="11"/>
      <color theme="1"/>
      <name val="Calibri"/>
      <family val="2"/>
      <scheme val="minor"/>
    </font>
    <font>
      <sz val="11"/>
      <color theme="1"/>
      <name val="Calibri"/>
      <family val="2"/>
      <scheme val="minor"/>
    </font>
    <font>
      <b/>
      <sz val="11"/>
      <color theme="0"/>
      <name val="Calibri"/>
      <family val="2"/>
      <scheme val="minor"/>
    </font>
    <font>
      <sz val="11"/>
      <color rgb="FF002060"/>
      <name val="Calibri"/>
      <family val="2"/>
      <scheme val="minor"/>
    </font>
    <font>
      <vertAlign val="subscript"/>
      <sz val="11"/>
      <color indexed="56"/>
      <name val="Calibri"/>
      <family val="2"/>
    </font>
    <font>
      <sz val="11"/>
      <color indexed="56"/>
      <name val="Calibri"/>
      <family val="2"/>
    </font>
    <font>
      <vertAlign val="subscript"/>
      <sz val="11"/>
      <color rgb="FF002060"/>
      <name val="Calibri"/>
      <family val="2"/>
      <scheme val="minor"/>
    </font>
    <font>
      <b/>
      <sz val="8"/>
      <name val="Tahoma"/>
      <family val="2"/>
    </font>
    <font>
      <b/>
      <sz val="9"/>
      <color indexed="81"/>
      <name val="Tahoma"/>
      <family val="2"/>
    </font>
    <font>
      <b/>
      <sz val="8"/>
      <color indexed="81"/>
      <name val="Tahoma"/>
      <family val="2"/>
    </font>
    <font>
      <sz val="9"/>
      <color indexed="81"/>
      <name val="Tahoma"/>
      <family val="2"/>
    </font>
    <font>
      <sz val="11"/>
      <color rgb="FF053D5F"/>
      <name val="Calibri"/>
      <family val="2"/>
      <scheme val="minor"/>
    </font>
    <font>
      <sz val="11"/>
      <color rgb="FF000000"/>
      <name val="Calibri"/>
      <family val="2"/>
      <scheme val="minor"/>
    </font>
    <font>
      <sz val="11"/>
      <name val="Calibri"/>
      <family val="2"/>
      <scheme val="minor"/>
    </font>
    <font>
      <sz val="11"/>
      <color rgb="FF053D5F"/>
      <name val="Arial"/>
      <family val="2"/>
    </font>
    <font>
      <b/>
      <sz val="11"/>
      <color rgb="FF053D5F"/>
      <name val="Calibri"/>
      <family val="2"/>
      <scheme val="minor"/>
    </font>
    <font>
      <vertAlign val="superscript"/>
      <sz val="11"/>
      <color indexed="56"/>
      <name val="Calibri"/>
      <family val="2"/>
    </font>
    <font>
      <b/>
      <vertAlign val="superscript"/>
      <sz val="11"/>
      <color indexed="56"/>
      <name val="Calibri"/>
      <family val="2"/>
    </font>
    <font>
      <vertAlign val="subscript"/>
      <sz val="11"/>
      <color indexed="56"/>
      <name val="Arial"/>
      <family val="2"/>
    </font>
    <font>
      <sz val="11"/>
      <color indexed="56"/>
      <name val="Arial"/>
      <family val="2"/>
    </font>
    <font>
      <b/>
      <sz val="11"/>
      <color rgb="FFFF0000"/>
      <name val="Calibri"/>
      <family val="2"/>
      <scheme val="minor"/>
    </font>
    <font>
      <sz val="12"/>
      <color theme="1"/>
      <name val="Calibri"/>
      <family val="2"/>
      <scheme val="minor"/>
    </font>
    <font>
      <b/>
      <sz val="12"/>
      <color theme="0"/>
      <name val="Calibri"/>
      <family val="2"/>
      <scheme val="minor"/>
    </font>
    <font>
      <sz val="12"/>
      <name val="Calibri"/>
      <family val="2"/>
      <scheme val="minor"/>
    </font>
    <font>
      <b/>
      <sz val="14"/>
      <color rgb="FF005480"/>
      <name val="Calibri"/>
      <family val="2"/>
      <scheme val="minor"/>
    </font>
    <font>
      <b/>
      <sz val="12"/>
      <name val="Calibri"/>
      <family val="2"/>
      <scheme val="minor"/>
    </font>
    <font>
      <b/>
      <sz val="12"/>
      <color indexed="50"/>
      <name val="Calibri"/>
      <family val="2"/>
      <scheme val="minor"/>
    </font>
    <font>
      <b/>
      <sz val="12"/>
      <color theme="0" tint="-4.9989318521683403E-2"/>
      <name val="Calibri"/>
      <family val="2"/>
      <scheme val="minor"/>
    </font>
    <font>
      <b/>
      <vertAlign val="subscript"/>
      <sz val="12"/>
      <color theme="0" tint="-4.9989318521683403E-2"/>
      <name val="Calibri"/>
      <family val="2"/>
      <scheme val="minor"/>
    </font>
    <font>
      <sz val="12"/>
      <color indexed="10"/>
      <name val="Calibri"/>
      <family val="2"/>
      <scheme val="minor"/>
    </font>
    <font>
      <b/>
      <i/>
      <sz val="14"/>
      <name val="Calibri"/>
      <family val="2"/>
      <scheme val="minor"/>
    </font>
    <font>
      <b/>
      <sz val="14"/>
      <color theme="0" tint="-4.9989318521683403E-2"/>
      <name val="Calibri"/>
      <family val="2"/>
      <scheme val="minor"/>
    </font>
    <font>
      <b/>
      <sz val="14"/>
      <name val="Calibri"/>
      <family val="2"/>
      <scheme val="minor"/>
    </font>
    <font>
      <sz val="14"/>
      <name val="Calibri"/>
      <family val="2"/>
      <scheme val="minor"/>
    </font>
    <font>
      <sz val="12"/>
      <color theme="0"/>
      <name val="Calibri"/>
      <family val="2"/>
      <scheme val="minor"/>
    </font>
    <font>
      <sz val="12"/>
      <color rgb="FF292934"/>
      <name val="Calibri"/>
      <family val="2"/>
      <scheme val="minor"/>
    </font>
    <font>
      <b/>
      <vertAlign val="subscript"/>
      <sz val="12"/>
      <color theme="0"/>
      <name val="Calibri"/>
      <family val="2"/>
      <scheme val="minor"/>
    </font>
    <font>
      <i/>
      <sz val="12"/>
      <name val="Calibri"/>
      <family val="2"/>
      <scheme val="minor"/>
    </font>
    <font>
      <vertAlign val="superscript"/>
      <sz val="12"/>
      <name val="Calibri"/>
      <family val="2"/>
      <scheme val="minor"/>
    </font>
    <font>
      <vertAlign val="subscript"/>
      <sz val="12"/>
      <name val="Calibri"/>
      <family val="2"/>
      <scheme val="minor"/>
    </font>
    <font>
      <i/>
      <sz val="12"/>
      <color theme="1"/>
      <name val="Calibri"/>
      <family val="2"/>
      <scheme val="minor"/>
    </font>
    <font>
      <vertAlign val="superscript"/>
      <sz val="12"/>
      <color theme="1"/>
      <name val="Calibri"/>
      <family val="2"/>
      <scheme val="minor"/>
    </font>
  </fonts>
  <fills count="25">
    <fill>
      <patternFill patternType="none"/>
    </fill>
    <fill>
      <patternFill patternType="gray125"/>
    </fill>
    <fill>
      <patternFill patternType="solid">
        <fgColor rgb="FF002060"/>
        <bgColor indexed="64"/>
      </patternFill>
    </fill>
    <fill>
      <patternFill patternType="solid">
        <fgColor theme="8" tint="0.79998168889431442"/>
        <bgColor indexed="64"/>
      </patternFill>
    </fill>
    <fill>
      <patternFill patternType="solid">
        <fgColor theme="7"/>
        <bgColor indexed="64"/>
      </patternFill>
    </fill>
    <fill>
      <patternFill patternType="solid">
        <fgColor theme="9"/>
        <bgColor indexed="64"/>
      </patternFill>
    </fill>
    <fill>
      <patternFill patternType="solid">
        <fgColor theme="9" tint="0.7999816888943144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D9D9D9"/>
        <bgColor indexed="64"/>
      </patternFill>
    </fill>
    <fill>
      <patternFill patternType="solid">
        <fgColor theme="0"/>
        <bgColor indexed="64"/>
      </patternFill>
    </fill>
    <fill>
      <patternFill patternType="lightGray">
        <bgColor theme="0"/>
      </patternFill>
    </fill>
    <fill>
      <patternFill patternType="solid">
        <fgColor theme="0" tint="-0.14999847407452621"/>
        <bgColor indexed="64"/>
      </patternFill>
    </fill>
    <fill>
      <patternFill patternType="solid">
        <fgColor rgb="FFFFFF00"/>
        <bgColor rgb="FF000000"/>
      </patternFill>
    </fill>
    <fill>
      <patternFill patternType="gray125">
        <bgColor theme="0"/>
      </patternFill>
    </fill>
    <fill>
      <patternFill patternType="solid">
        <fgColor theme="9" tint="0.39997558519241921"/>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rgb="FFC00000"/>
        <bgColor indexed="64"/>
      </patternFill>
    </fill>
    <fill>
      <patternFill patternType="solid">
        <fgColor rgb="FFFFFF00"/>
        <bgColor indexed="64"/>
      </patternFill>
    </fill>
    <fill>
      <patternFill patternType="solid">
        <fgColor rgb="FF02A39C"/>
        <bgColor indexed="64"/>
      </patternFill>
    </fill>
    <fill>
      <patternFill patternType="solid">
        <fgColor indexed="9"/>
        <bgColor indexed="64"/>
      </patternFill>
    </fill>
    <fill>
      <patternFill patternType="solid">
        <fgColor rgb="FF005480"/>
        <bgColor indexed="64"/>
      </patternFill>
    </fill>
    <fill>
      <patternFill patternType="solid">
        <fgColor theme="2" tint="-0.249977111117893"/>
        <bgColor indexed="64"/>
      </patternFill>
    </fill>
    <fill>
      <patternFill patternType="solid">
        <fgColor rgb="FFFFFFFF"/>
        <bgColor rgb="FF000000"/>
      </patternFill>
    </fill>
  </fills>
  <borders count="78">
    <border>
      <left/>
      <right/>
      <top/>
      <bottom/>
      <diagonal/>
    </border>
    <border>
      <left style="medium">
        <color theme="0"/>
      </left>
      <right style="medium">
        <color theme="0"/>
      </right>
      <top style="medium">
        <color theme="0"/>
      </top>
      <bottom style="medium">
        <color theme="0"/>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theme="0"/>
      </left>
      <right style="medium">
        <color theme="0"/>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rgb="FF053D5F"/>
      </left>
      <right style="thin">
        <color rgb="FF053D5F"/>
      </right>
      <top style="thin">
        <color rgb="FF053D5F"/>
      </top>
      <bottom style="thin">
        <color rgb="FF053D5F"/>
      </bottom>
      <diagonal/>
    </border>
    <border>
      <left style="thin">
        <color indexed="64"/>
      </left>
      <right style="thin">
        <color indexed="64"/>
      </right>
      <top style="thin">
        <color indexed="64"/>
      </top>
      <bottom/>
      <diagonal/>
    </border>
    <border>
      <left style="thin">
        <color rgb="FF053D5F"/>
      </left>
      <right style="thin">
        <color rgb="FF053D5F"/>
      </right>
      <top style="thin">
        <color rgb="FF053D5F"/>
      </top>
      <bottom/>
      <diagonal/>
    </border>
    <border>
      <left style="thin">
        <color indexed="64"/>
      </left>
      <right style="thin">
        <color indexed="64"/>
      </right>
      <top/>
      <bottom/>
      <diagonal/>
    </border>
    <border>
      <left style="thin">
        <color rgb="FF053D5F"/>
      </left>
      <right style="thin">
        <color rgb="FF053D5F"/>
      </right>
      <top/>
      <bottom/>
      <diagonal/>
    </border>
    <border>
      <left style="thin">
        <color rgb="FF053D5F"/>
      </left>
      <right style="thin">
        <color rgb="FF053D5F"/>
      </right>
      <top/>
      <bottom style="thin">
        <color rgb="FF053D5F"/>
      </bottom>
      <diagonal/>
    </border>
    <border>
      <left style="thin">
        <color indexed="64"/>
      </left>
      <right style="thin">
        <color indexed="64"/>
      </right>
      <top/>
      <bottom style="thin">
        <color indexed="64"/>
      </bottom>
      <diagonal/>
    </border>
    <border>
      <left style="thin">
        <color rgb="FF053D5F"/>
      </left>
      <right/>
      <top style="thin">
        <color rgb="FF053D5F"/>
      </top>
      <bottom/>
      <diagonal/>
    </border>
    <border>
      <left style="thin">
        <color rgb="FF053D5F"/>
      </left>
      <right/>
      <top/>
      <bottom/>
      <diagonal/>
    </border>
    <border>
      <left style="thin">
        <color rgb="FF053D5F"/>
      </left>
      <right/>
      <top/>
      <bottom style="thin">
        <color rgb="FF053D5F"/>
      </bottom>
      <diagonal/>
    </border>
    <border>
      <left style="thin">
        <color indexed="64"/>
      </left>
      <right style="thin">
        <color rgb="FF053D5F"/>
      </right>
      <top style="thin">
        <color indexed="64"/>
      </top>
      <bottom style="thin">
        <color rgb="FF053D5F"/>
      </bottom>
      <diagonal/>
    </border>
    <border>
      <left style="thin">
        <color rgb="FF053D5F"/>
      </left>
      <right style="thin">
        <color rgb="FF053D5F"/>
      </right>
      <top style="thin">
        <color indexed="64"/>
      </top>
      <bottom style="thin">
        <color rgb="FF053D5F"/>
      </bottom>
      <diagonal/>
    </border>
    <border>
      <left style="thin">
        <color rgb="FF053D5F"/>
      </left>
      <right style="thin">
        <color indexed="64"/>
      </right>
      <top style="thin">
        <color indexed="64"/>
      </top>
      <bottom style="thin">
        <color rgb="FF053D5F"/>
      </bottom>
      <diagonal/>
    </border>
    <border>
      <left style="thin">
        <color indexed="64"/>
      </left>
      <right style="thin">
        <color rgb="FF053D5F"/>
      </right>
      <top style="thin">
        <color rgb="FF053D5F"/>
      </top>
      <bottom style="thin">
        <color rgb="FF053D5F"/>
      </bottom>
      <diagonal/>
    </border>
    <border>
      <left style="thin">
        <color rgb="FF053D5F"/>
      </left>
      <right style="thin">
        <color indexed="64"/>
      </right>
      <top style="thin">
        <color rgb="FF053D5F"/>
      </top>
      <bottom style="thin">
        <color rgb="FF053D5F"/>
      </bottom>
      <diagonal/>
    </border>
    <border>
      <left style="thin">
        <color indexed="64"/>
      </left>
      <right style="thin">
        <color rgb="FF053D5F"/>
      </right>
      <top style="thin">
        <color rgb="FF053D5F"/>
      </top>
      <bottom style="thin">
        <color indexed="64"/>
      </bottom>
      <diagonal/>
    </border>
    <border>
      <left style="thin">
        <color rgb="FF053D5F"/>
      </left>
      <right style="thin">
        <color rgb="FF053D5F"/>
      </right>
      <top style="thin">
        <color rgb="FF053D5F"/>
      </top>
      <bottom style="thin">
        <color indexed="64"/>
      </bottom>
      <diagonal/>
    </border>
    <border>
      <left style="thin">
        <color rgb="FF053D5F"/>
      </left>
      <right style="thin">
        <color indexed="64"/>
      </right>
      <top style="thin">
        <color rgb="FF053D5F"/>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theme="0"/>
      </right>
      <top style="medium">
        <color theme="0"/>
      </top>
      <bottom style="medium">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theme="0"/>
      </right>
      <top style="medium">
        <color indexed="64"/>
      </top>
      <bottom style="medium">
        <color indexed="64"/>
      </bottom>
      <diagonal/>
    </border>
    <border>
      <left style="medium">
        <color theme="0"/>
      </left>
      <right style="medium">
        <color theme="0"/>
      </right>
      <top style="medium">
        <color indexed="64"/>
      </top>
      <bottom style="medium">
        <color indexed="64"/>
      </bottom>
      <diagonal/>
    </border>
    <border>
      <left style="medium">
        <color theme="0"/>
      </left>
      <right style="medium">
        <color indexed="64"/>
      </right>
      <top style="medium">
        <color indexed="64"/>
      </top>
      <bottom style="medium">
        <color indexed="64"/>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
      <left style="medium">
        <color rgb="FFFFFFFF"/>
      </left>
      <right/>
      <top/>
      <bottom style="medium">
        <color rgb="FFFFFFFF"/>
      </bottom>
      <diagonal/>
    </border>
    <border>
      <left style="thick">
        <color rgb="FF053D5F"/>
      </left>
      <right style="thick">
        <color rgb="FF053D5F"/>
      </right>
      <top style="thick">
        <color rgb="FF053D5F"/>
      </top>
      <bottom style="thin">
        <color rgb="FF053D5F"/>
      </bottom>
      <diagonal/>
    </border>
    <border>
      <left/>
      <right style="thick">
        <color rgb="FF053D5F"/>
      </right>
      <top style="thick">
        <color rgb="FF053D5F"/>
      </top>
      <bottom style="thin">
        <color rgb="FF053D5F"/>
      </bottom>
      <diagonal/>
    </border>
    <border>
      <left style="thick">
        <color rgb="FF053D5F"/>
      </left>
      <right style="thick">
        <color rgb="FF053D5F"/>
      </right>
      <top style="thin">
        <color rgb="FF053D5F"/>
      </top>
      <bottom style="thick">
        <color rgb="FF053D5F"/>
      </bottom>
      <diagonal/>
    </border>
    <border>
      <left/>
      <right style="thick">
        <color rgb="FF053D5F"/>
      </right>
      <top style="thin">
        <color rgb="FF053D5F"/>
      </top>
      <bottom/>
      <diagonal/>
    </border>
    <border>
      <left style="thick">
        <color rgb="FF053D5F"/>
      </left>
      <right style="thick">
        <color rgb="FF053D5F"/>
      </right>
      <top style="thin">
        <color rgb="FF053D5F"/>
      </top>
      <bottom/>
      <diagonal/>
    </border>
    <border>
      <left style="thick">
        <color rgb="FF053D5F"/>
      </left>
      <right style="thick">
        <color rgb="FF053D5F"/>
      </right>
      <top style="thick">
        <color rgb="FF053D5F"/>
      </top>
      <bottom/>
      <diagonal/>
    </border>
    <border>
      <left style="thick">
        <color rgb="FF053D5F"/>
      </left>
      <right style="thick">
        <color rgb="FF053D5F"/>
      </right>
      <top/>
      <bottom/>
      <diagonal/>
    </border>
    <border>
      <left style="thick">
        <color rgb="FF053D5F"/>
      </left>
      <right style="thick">
        <color rgb="FF053D5F"/>
      </right>
      <top style="thin">
        <color rgb="FF053D5F"/>
      </top>
      <bottom style="thin">
        <color rgb="FF053D5F"/>
      </bottom>
      <diagonal/>
    </border>
    <border>
      <left style="thick">
        <color rgb="FF053D5F"/>
      </left>
      <right style="thick">
        <color rgb="FF053D5F"/>
      </right>
      <top style="thick">
        <color rgb="FF053D5F"/>
      </top>
      <bottom style="thick">
        <color rgb="FF053D5F"/>
      </bottom>
      <diagonal/>
    </border>
    <border>
      <left style="thick">
        <color rgb="FF053D5F"/>
      </left>
      <right style="thick">
        <color rgb="FF053D5F"/>
      </right>
      <top/>
      <bottom style="thick">
        <color rgb="FF053D5F"/>
      </bottom>
      <diagonal/>
    </border>
    <border>
      <left/>
      <right style="thick">
        <color rgb="FF053D5F"/>
      </right>
      <top style="thin">
        <color rgb="FF053D5F"/>
      </top>
      <bottom style="thick">
        <color rgb="FF053D5F"/>
      </bottom>
      <diagonal/>
    </border>
    <border>
      <left style="thin">
        <color indexed="64"/>
      </left>
      <right style="thin">
        <color indexed="64"/>
      </right>
      <top style="thin">
        <color indexed="64"/>
      </top>
      <bottom style="thin">
        <color indexed="64"/>
      </bottom>
      <diagonal/>
    </border>
    <border>
      <left style="thin">
        <color indexed="9"/>
      </left>
      <right style="thin">
        <color indexed="9"/>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9"/>
      </left>
      <right/>
      <top style="thin">
        <color indexed="9"/>
      </top>
      <bottom style="thin">
        <color indexed="9"/>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thin">
        <color indexed="9"/>
      </left>
      <right/>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9"/>
      </right>
      <top style="thin">
        <color indexed="9"/>
      </top>
      <bottom style="thin">
        <color indexed="9"/>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top style="thin">
        <color indexed="9"/>
      </top>
      <bottom style="thin">
        <color indexed="9"/>
      </bottom>
      <diagonal/>
    </border>
    <border>
      <left style="thin">
        <color indexed="64"/>
      </left>
      <right style="thin">
        <color indexed="9"/>
      </right>
      <top style="thin">
        <color indexed="64"/>
      </top>
      <bottom style="thin">
        <color indexed="64"/>
      </bottom>
      <diagonal/>
    </border>
    <border>
      <left style="thin">
        <color indexed="9"/>
      </left>
      <right style="thin">
        <color indexed="9"/>
      </right>
      <top style="thin">
        <color indexed="64"/>
      </top>
      <bottom style="thin">
        <color indexed="64"/>
      </bottom>
      <diagonal/>
    </border>
    <border>
      <left style="thin">
        <color indexed="9"/>
      </left>
      <right style="thin">
        <color indexed="64"/>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473">
    <xf numFmtId="0" fontId="0" fillId="0" borderId="0" xfId="0"/>
    <xf numFmtId="0" fontId="2" fillId="2" borderId="2"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0" fillId="3" borderId="1" xfId="0" applyFill="1" applyBorder="1" applyAlignment="1">
      <alignment horizontal="left" vertical="center"/>
    </xf>
    <xf numFmtId="3" fontId="0" fillId="3" borderId="3" xfId="0" applyNumberFormat="1" applyFill="1" applyBorder="1" applyAlignment="1">
      <alignment horizontal="center" vertical="center"/>
    </xf>
    <xf numFmtId="0" fontId="0" fillId="3" borderId="3" xfId="0" applyFill="1" applyBorder="1" applyAlignment="1">
      <alignment horizontal="center" vertical="center"/>
    </xf>
    <xf numFmtId="0" fontId="0" fillId="3" borderId="3" xfId="0" applyFill="1" applyBorder="1" applyAlignment="1">
      <alignment horizontal="left" vertical="center"/>
    </xf>
    <xf numFmtId="0" fontId="0" fillId="0" borderId="0" xfId="0" applyAlignment="1">
      <alignment horizontal="center"/>
    </xf>
    <xf numFmtId="164" fontId="0" fillId="3" borderId="3" xfId="0" applyNumberFormat="1" applyFill="1" applyBorder="1" applyAlignment="1">
      <alignment horizontal="center" vertical="center"/>
    </xf>
    <xf numFmtId="0" fontId="0" fillId="0" borderId="0" xfId="0" applyAlignment="1">
      <alignment horizontal="center" vertical="center"/>
    </xf>
    <xf numFmtId="2" fontId="0" fillId="0" borderId="0" xfId="0" applyNumberFormat="1"/>
    <xf numFmtId="164" fontId="2" fillId="2" borderId="1" xfId="0" applyNumberFormat="1" applyFont="1" applyFill="1" applyBorder="1" applyAlignment="1">
      <alignment horizontal="center" vertical="center" wrapText="1"/>
    </xf>
    <xf numFmtId="164" fontId="0" fillId="0" borderId="0" xfId="0" applyNumberFormat="1"/>
    <xf numFmtId="0" fontId="2" fillId="4" borderId="1" xfId="0" applyFont="1" applyFill="1" applyBorder="1" applyAlignment="1">
      <alignment horizontal="center" vertical="center" wrapText="1"/>
    </xf>
    <xf numFmtId="164" fontId="2" fillId="4" borderId="1" xfId="0" applyNumberFormat="1" applyFont="1" applyFill="1" applyBorder="1" applyAlignment="1">
      <alignment horizontal="center" vertical="center" wrapText="1"/>
    </xf>
    <xf numFmtId="164" fontId="0" fillId="4" borderId="3" xfId="0" applyNumberFormat="1" applyFill="1" applyBorder="1" applyAlignment="1">
      <alignment horizontal="center" vertical="center"/>
    </xf>
    <xf numFmtId="164" fontId="0" fillId="6" borderId="3" xfId="0" applyNumberFormat="1" applyFill="1" applyBorder="1" applyAlignment="1">
      <alignment horizontal="center" vertical="center"/>
    </xf>
    <xf numFmtId="2" fontId="0" fillId="0" borderId="0" xfId="0" applyNumberFormat="1" applyAlignment="1">
      <alignment horizontal="center" vertical="center"/>
    </xf>
    <xf numFmtId="9" fontId="0" fillId="0" borderId="0" xfId="1" applyFont="1" applyAlignment="1">
      <alignment horizontal="center" vertical="center"/>
    </xf>
    <xf numFmtId="164" fontId="0" fillId="0" borderId="0" xfId="0" applyNumberFormat="1" applyAlignment="1">
      <alignment horizontal="center" vertical="center"/>
    </xf>
    <xf numFmtId="3" fontId="0" fillId="4" borderId="4" xfId="0" applyNumberFormat="1" applyFill="1" applyBorder="1" applyAlignment="1">
      <alignment horizontal="center" vertical="center"/>
    </xf>
    <xf numFmtId="2" fontId="0" fillId="4" borderId="0" xfId="0" applyNumberFormat="1" applyFill="1" applyAlignment="1">
      <alignment horizontal="center" vertical="center"/>
    </xf>
    <xf numFmtId="164" fontId="0" fillId="4" borderId="0" xfId="0" applyNumberFormat="1" applyFill="1" applyAlignment="1">
      <alignment horizontal="center" vertical="center"/>
    </xf>
    <xf numFmtId="9" fontId="0" fillId="4" borderId="0" xfId="1" applyFont="1" applyFill="1" applyAlignment="1">
      <alignment horizontal="center" vertical="center"/>
    </xf>
    <xf numFmtId="2" fontId="0" fillId="4" borderId="0" xfId="0" applyNumberFormat="1" applyFill="1"/>
    <xf numFmtId="2" fontId="2" fillId="5" borderId="1" xfId="0" applyNumberFormat="1" applyFont="1" applyFill="1" applyBorder="1" applyAlignment="1">
      <alignment horizontal="center" vertical="center" wrapText="1"/>
    </xf>
    <xf numFmtId="2" fontId="0" fillId="6" borderId="3" xfId="0" applyNumberFormat="1" applyFill="1" applyBorder="1" applyAlignment="1">
      <alignment horizontal="center" vertical="center"/>
    </xf>
    <xf numFmtId="0" fontId="0" fillId="8" borderId="5" xfId="0" applyFont="1" applyFill="1" applyBorder="1"/>
    <xf numFmtId="0" fontId="0" fillId="8" borderId="6" xfId="0" applyFont="1" applyFill="1" applyBorder="1"/>
    <xf numFmtId="0" fontId="2" fillId="7" borderId="7" xfId="0" applyFont="1" applyFill="1" applyBorder="1"/>
    <xf numFmtId="0" fontId="2" fillId="7" borderId="8" xfId="0" applyFont="1" applyFill="1" applyBorder="1"/>
    <xf numFmtId="0" fontId="2" fillId="7" borderId="9" xfId="0" applyFont="1" applyFill="1" applyBorder="1"/>
    <xf numFmtId="0" fontId="0" fillId="8" borderId="7" xfId="0" applyFont="1" applyFill="1" applyBorder="1"/>
    <xf numFmtId="0" fontId="0" fillId="8" borderId="8" xfId="0" applyFont="1" applyFill="1" applyBorder="1"/>
    <xf numFmtId="0" fontId="0" fillId="8" borderId="9" xfId="0" applyFont="1" applyFill="1" applyBorder="1"/>
    <xf numFmtId="0" fontId="0" fillId="0" borderId="7" xfId="0" applyFont="1" applyBorder="1"/>
    <xf numFmtId="0" fontId="0" fillId="0" borderId="8" xfId="0" applyFont="1" applyBorder="1"/>
    <xf numFmtId="0" fontId="0" fillId="0" borderId="9" xfId="0" applyFont="1" applyBorder="1"/>
    <xf numFmtId="0" fontId="3" fillId="0" borderId="10" xfId="0" applyFont="1" applyBorder="1"/>
    <xf numFmtId="0" fontId="3" fillId="9" borderId="10" xfId="0" applyFont="1" applyFill="1" applyBorder="1"/>
    <xf numFmtId="0" fontId="3" fillId="9" borderId="10" xfId="0" applyFont="1" applyFill="1" applyBorder="1" applyAlignment="1">
      <alignment horizontal="left"/>
    </xf>
    <xf numFmtId="165" fontId="3" fillId="0" borderId="10" xfId="0" applyNumberFormat="1" applyFont="1" applyBorder="1" applyAlignment="1">
      <alignment horizontal="center"/>
    </xf>
    <xf numFmtId="166" fontId="3" fillId="0" borderId="10" xfId="0" applyNumberFormat="1" applyFont="1" applyBorder="1" applyAlignment="1">
      <alignment horizontal="center"/>
    </xf>
    <xf numFmtId="166" fontId="3" fillId="0" borderId="10" xfId="0" applyNumberFormat="1" applyFont="1" applyBorder="1" applyAlignment="1">
      <alignment horizontal="center" vertical="center"/>
    </xf>
    <xf numFmtId="0" fontId="3" fillId="10" borderId="0" xfId="0" applyFont="1" applyFill="1"/>
    <xf numFmtId="0" fontId="3" fillId="10" borderId="0" xfId="0" applyFont="1" applyFill="1" applyAlignment="1">
      <alignment horizontal="center"/>
    </xf>
    <xf numFmtId="4" fontId="3" fillId="0" borderId="10" xfId="0" applyNumberFormat="1" applyFont="1" applyBorder="1" applyAlignment="1">
      <alignment horizontal="center"/>
    </xf>
    <xf numFmtId="0" fontId="3" fillId="9" borderId="12" xfId="0" applyFont="1" applyFill="1" applyBorder="1"/>
    <xf numFmtId="166" fontId="3" fillId="0" borderId="12" xfId="0" applyNumberFormat="1" applyFont="1" applyBorder="1" applyAlignment="1">
      <alignment horizontal="center"/>
    </xf>
    <xf numFmtId="0" fontId="3" fillId="9" borderId="20" xfId="0" applyFont="1" applyFill="1" applyBorder="1"/>
    <xf numFmtId="4" fontId="3" fillId="0" borderId="21" xfId="0" applyNumberFormat="1" applyFont="1" applyBorder="1" applyAlignment="1">
      <alignment horizontal="center"/>
    </xf>
    <xf numFmtId="4" fontId="3" fillId="0" borderId="22" xfId="0" applyNumberFormat="1" applyFont="1" applyBorder="1" applyAlignment="1">
      <alignment horizontal="center"/>
    </xf>
    <xf numFmtId="0" fontId="3" fillId="9" borderId="23" xfId="0" applyFont="1" applyFill="1" applyBorder="1"/>
    <xf numFmtId="166" fontId="3" fillId="0" borderId="24" xfId="0" applyNumberFormat="1" applyFont="1" applyBorder="1" applyAlignment="1">
      <alignment horizontal="center"/>
    </xf>
    <xf numFmtId="0" fontId="3" fillId="9" borderId="25" xfId="0" applyFont="1" applyFill="1" applyBorder="1"/>
    <xf numFmtId="166" fontId="3" fillId="0" borderId="26" xfId="0" applyNumberFormat="1" applyFont="1" applyBorder="1" applyAlignment="1">
      <alignment horizontal="center"/>
    </xf>
    <xf numFmtId="166" fontId="3" fillId="0" borderId="27" xfId="0" applyNumberFormat="1" applyFont="1" applyBorder="1" applyAlignment="1">
      <alignment horizontal="center"/>
    </xf>
    <xf numFmtId="0" fontId="3" fillId="9" borderId="15" xfId="0" applyFont="1" applyFill="1" applyBorder="1"/>
    <xf numFmtId="4" fontId="3" fillId="0" borderId="15" xfId="0" applyNumberFormat="1" applyFont="1" applyBorder="1" applyAlignment="1">
      <alignment horizontal="center"/>
    </xf>
    <xf numFmtId="0" fontId="3" fillId="11" borderId="10" xfId="0" applyFont="1" applyFill="1" applyBorder="1" applyAlignment="1">
      <alignment horizontal="center"/>
    </xf>
    <xf numFmtId="0" fontId="3" fillId="0" borderId="10" xfId="0" applyFont="1" applyBorder="1" applyAlignment="1">
      <alignment horizontal="left" wrapText="1"/>
    </xf>
    <xf numFmtId="0" fontId="3" fillId="9" borderId="10" xfId="0" applyFont="1" applyFill="1" applyBorder="1" applyAlignment="1">
      <alignment horizontal="center"/>
    </xf>
    <xf numFmtId="0" fontId="3" fillId="11" borderId="12" xfId="0" applyFont="1" applyFill="1" applyBorder="1" applyAlignment="1">
      <alignment horizontal="center"/>
    </xf>
    <xf numFmtId="0" fontId="3" fillId="10" borderId="0" xfId="0" applyFont="1" applyFill="1" applyAlignment="1">
      <alignment horizontal="left" wrapText="1"/>
    </xf>
    <xf numFmtId="0" fontId="3" fillId="10" borderId="10" xfId="0" applyFont="1" applyFill="1" applyBorder="1"/>
    <xf numFmtId="167" fontId="3" fillId="0" borderId="10" xfId="0" applyNumberFormat="1" applyFont="1" applyBorder="1" applyAlignment="1">
      <alignment horizontal="center" vertical="center"/>
    </xf>
    <xf numFmtId="167" fontId="3" fillId="10" borderId="10" xfId="0" applyNumberFormat="1" applyFont="1" applyFill="1" applyBorder="1" applyAlignment="1">
      <alignment horizontal="center" vertical="center"/>
    </xf>
    <xf numFmtId="0" fontId="0" fillId="0" borderId="0" xfId="0" applyAlignment="1">
      <alignment wrapText="1"/>
    </xf>
    <xf numFmtId="0" fontId="0" fillId="0" borderId="0" xfId="0" applyAlignment="1">
      <alignment vertical="center" wrapText="1"/>
    </xf>
    <xf numFmtId="0" fontId="0" fillId="0" borderId="0" xfId="0" applyAlignment="1">
      <alignment horizontal="center" vertical="center" wrapText="1"/>
    </xf>
    <xf numFmtId="168" fontId="0" fillId="0" borderId="0" xfId="0" applyNumberFormat="1"/>
    <xf numFmtId="2" fontId="3" fillId="0" borderId="10" xfId="0" applyNumberFormat="1" applyFont="1" applyBorder="1" applyAlignment="1">
      <alignment horizontal="center" vertical="center"/>
    </xf>
    <xf numFmtId="168" fontId="2" fillId="4" borderId="1" xfId="0" applyNumberFormat="1" applyFont="1" applyFill="1" applyBorder="1" applyAlignment="1">
      <alignment horizontal="center" vertical="center" wrapText="1"/>
    </xf>
    <xf numFmtId="0" fontId="3" fillId="0" borderId="10" xfId="0" applyFont="1" applyBorder="1" applyAlignment="1">
      <alignment horizontal="center"/>
    </xf>
    <xf numFmtId="0" fontId="11" fillId="10" borderId="0" xfId="0" applyFont="1" applyFill="1"/>
    <xf numFmtId="0" fontId="3" fillId="10" borderId="0" xfId="0" applyFont="1" applyFill="1" applyAlignment="1">
      <alignment vertical="top"/>
    </xf>
    <xf numFmtId="0" fontId="3" fillId="0" borderId="10" xfId="0" applyFont="1" applyBorder="1" applyAlignment="1">
      <alignment wrapText="1"/>
    </xf>
    <xf numFmtId="0" fontId="3" fillId="9" borderId="10" xfId="0" applyFont="1" applyFill="1" applyBorder="1" applyAlignment="1">
      <alignment vertical="center"/>
    </xf>
    <xf numFmtId="0" fontId="0" fillId="4" borderId="3" xfId="0" applyFill="1" applyBorder="1" applyAlignment="1">
      <alignment horizontal="center" vertical="center"/>
    </xf>
    <xf numFmtId="0" fontId="0" fillId="0" borderId="0" xfId="0" applyBorder="1"/>
    <xf numFmtId="0" fontId="0" fillId="0" borderId="0" xfId="0" applyFont="1" applyBorder="1" applyAlignment="1">
      <alignment horizontal="center" vertical="center"/>
    </xf>
    <xf numFmtId="0" fontId="0" fillId="0" borderId="0" xfId="0" applyFont="1" applyFill="1" applyBorder="1" applyAlignment="1">
      <alignment horizontal="center" vertical="center"/>
    </xf>
    <xf numFmtId="0" fontId="0" fillId="0" borderId="0" xfId="0" applyFill="1" applyBorder="1"/>
    <xf numFmtId="0" fontId="0" fillId="4" borderId="0" xfId="0" applyFont="1" applyFill="1" applyBorder="1" applyAlignment="1">
      <alignment horizontal="center" vertical="center"/>
    </xf>
    <xf numFmtId="0" fontId="0" fillId="4" borderId="0" xfId="0" applyFill="1"/>
    <xf numFmtId="168" fontId="0" fillId="4" borderId="0" xfId="0" applyNumberFormat="1" applyFill="1"/>
    <xf numFmtId="0" fontId="0" fillId="4" borderId="0" xfId="0" applyFill="1" applyAlignment="1">
      <alignment horizontal="center" vertical="center"/>
    </xf>
    <xf numFmtId="10" fontId="0" fillId="4" borderId="0" xfId="0" applyNumberFormat="1" applyFill="1" applyAlignment="1">
      <alignment horizontal="center"/>
    </xf>
    <xf numFmtId="10" fontId="0" fillId="0" borderId="0" xfId="0" applyNumberFormat="1" applyAlignment="1">
      <alignment horizontal="center"/>
    </xf>
    <xf numFmtId="170" fontId="3" fillId="10" borderId="10" xfId="0" applyNumberFormat="1" applyFont="1" applyFill="1" applyBorder="1" applyAlignment="1">
      <alignment horizontal="center" vertical="center" wrapText="1"/>
    </xf>
    <xf numFmtId="164" fontId="0" fillId="0" borderId="0" xfId="0" applyNumberFormat="1" applyAlignment="1">
      <alignment horizontal="center"/>
    </xf>
    <xf numFmtId="0" fontId="0" fillId="0" borderId="0" xfId="0" applyFill="1" applyAlignment="1">
      <alignment horizontal="center" vertical="center"/>
    </xf>
    <xf numFmtId="168" fontId="0" fillId="0" borderId="0" xfId="0" applyNumberFormat="1" applyFill="1"/>
    <xf numFmtId="171" fontId="0" fillId="0" borderId="0" xfId="1" applyNumberFormat="1" applyFont="1" applyAlignment="1">
      <alignment horizontal="center"/>
    </xf>
    <xf numFmtId="0" fontId="0" fillId="0" borderId="31" xfId="0" applyBorder="1"/>
    <xf numFmtId="0" fontId="0" fillId="0" borderId="0" xfId="0" applyBorder="1" applyAlignment="1">
      <alignment horizontal="center" vertical="center"/>
    </xf>
    <xf numFmtId="0" fontId="0" fillId="0" borderId="32" xfId="0" applyBorder="1" applyAlignment="1">
      <alignment horizontal="center" vertical="center"/>
    </xf>
    <xf numFmtId="0" fontId="0" fillId="0" borderId="33" xfId="0" applyBorder="1"/>
    <xf numFmtId="0" fontId="0" fillId="0" borderId="34" xfId="0" applyBorder="1"/>
    <xf numFmtId="0" fontId="0" fillId="0" borderId="34" xfId="0" applyBorder="1" applyAlignment="1">
      <alignment horizontal="center" vertical="center"/>
    </xf>
    <xf numFmtId="0" fontId="0" fillId="0" borderId="35" xfId="0" applyBorder="1" applyAlignment="1">
      <alignment horizontal="center" vertical="center"/>
    </xf>
    <xf numFmtId="168" fontId="3" fillId="0" borderId="0" xfId="0" applyNumberFormat="1" applyFont="1" applyFill="1" applyBorder="1" applyAlignment="1">
      <alignment horizontal="center" vertical="center"/>
    </xf>
    <xf numFmtId="0" fontId="3" fillId="0" borderId="0" xfId="0" applyFont="1" applyFill="1" applyBorder="1" applyAlignment="1">
      <alignment vertical="center"/>
    </xf>
    <xf numFmtId="168" fontId="3" fillId="0" borderId="0" xfId="0" applyNumberFormat="1" applyFont="1" applyFill="1" applyBorder="1" applyAlignment="1">
      <alignment horizontal="center"/>
    </xf>
    <xf numFmtId="0" fontId="3" fillId="0" borderId="0" xfId="0" applyFont="1" applyFill="1" applyBorder="1" applyAlignment="1">
      <alignment vertical="center" wrapText="1"/>
    </xf>
    <xf numFmtId="168" fontId="3" fillId="0" borderId="32" xfId="0" applyNumberFormat="1" applyFont="1" applyFill="1" applyBorder="1" applyAlignment="1">
      <alignment horizontal="center"/>
    </xf>
    <xf numFmtId="0" fontId="3" fillId="0" borderId="34" xfId="0" applyFont="1" applyFill="1" applyBorder="1" applyAlignment="1">
      <alignment vertical="center" wrapText="1"/>
    </xf>
    <xf numFmtId="168" fontId="3" fillId="0" borderId="34" xfId="0" applyNumberFormat="1" applyFont="1" applyFill="1" applyBorder="1" applyAlignment="1">
      <alignment horizontal="center"/>
    </xf>
    <xf numFmtId="168" fontId="3" fillId="0" borderId="35" xfId="0" applyNumberFormat="1" applyFont="1" applyFill="1" applyBorder="1" applyAlignment="1">
      <alignment horizontal="center"/>
    </xf>
    <xf numFmtId="0" fontId="3" fillId="0" borderId="31" xfId="0" applyFont="1" applyFill="1" applyBorder="1" applyAlignment="1">
      <alignment vertical="center"/>
    </xf>
    <xf numFmtId="168" fontId="0" fillId="0" borderId="0" xfId="0" applyNumberFormat="1" applyBorder="1"/>
    <xf numFmtId="168" fontId="0" fillId="0" borderId="32" xfId="0" applyNumberFormat="1" applyBorder="1"/>
    <xf numFmtId="0" fontId="3" fillId="0" borderId="33" xfId="0" applyFont="1" applyFill="1" applyBorder="1" applyAlignment="1">
      <alignment vertical="center"/>
    </xf>
    <xf numFmtId="168" fontId="0" fillId="0" borderId="34" xfId="0" applyNumberFormat="1" applyBorder="1"/>
    <xf numFmtId="168" fontId="0" fillId="0" borderId="35" xfId="0" applyNumberFormat="1" applyBorder="1"/>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168" fontId="3" fillId="0" borderId="38" xfId="0" applyNumberFormat="1" applyFont="1" applyFill="1" applyBorder="1" applyAlignment="1">
      <alignment horizontal="center" vertical="center"/>
    </xf>
    <xf numFmtId="168" fontId="3" fillId="0" borderId="39" xfId="0" applyNumberFormat="1" applyFont="1" applyFill="1" applyBorder="1" applyAlignment="1">
      <alignment horizontal="center" vertical="center"/>
    </xf>
    <xf numFmtId="168" fontId="2" fillId="4" borderId="40" xfId="0" applyNumberFormat="1" applyFont="1" applyFill="1" applyBorder="1" applyAlignment="1">
      <alignment horizontal="center" vertical="center" wrapText="1"/>
    </xf>
    <xf numFmtId="168" fontId="2" fillId="4" borderId="41" xfId="0" applyNumberFormat="1" applyFont="1" applyFill="1" applyBorder="1" applyAlignment="1">
      <alignment horizontal="center" vertical="center" wrapText="1"/>
    </xf>
    <xf numFmtId="168" fontId="2" fillId="4" borderId="42" xfId="0" applyNumberFormat="1" applyFont="1" applyFill="1" applyBorder="1" applyAlignment="1">
      <alignment horizontal="center" vertical="center" wrapText="1"/>
    </xf>
    <xf numFmtId="0" fontId="0" fillId="0" borderId="37" xfId="0" applyBorder="1" applyAlignment="1">
      <alignment horizontal="center" vertical="center" wrapText="1"/>
    </xf>
    <xf numFmtId="0" fontId="0" fillId="0" borderId="38" xfId="0" applyBorder="1" applyAlignment="1">
      <alignment horizontal="center" vertical="center" wrapText="1"/>
    </xf>
    <xf numFmtId="0" fontId="0" fillId="0" borderId="39" xfId="0" applyBorder="1" applyAlignment="1">
      <alignment horizontal="center" vertical="center" wrapText="1"/>
    </xf>
    <xf numFmtId="0" fontId="3" fillId="0" borderId="39" xfId="0" applyFont="1" applyFill="1" applyBorder="1" applyAlignment="1">
      <alignment horizontal="center" vertical="center"/>
    </xf>
    <xf numFmtId="0" fontId="3" fillId="0" borderId="32" xfId="0" applyFont="1" applyFill="1" applyBorder="1"/>
    <xf numFmtId="0" fontId="3" fillId="0" borderId="35" xfId="0" applyFont="1" applyFill="1" applyBorder="1"/>
    <xf numFmtId="0" fontId="0" fillId="0" borderId="0" xfId="0" applyAlignment="1">
      <alignment horizontal="center" vertical="center" wrapText="1"/>
    </xf>
    <xf numFmtId="0" fontId="0" fillId="0" borderId="28" xfId="0" applyBorder="1"/>
    <xf numFmtId="0" fontId="0" fillId="0" borderId="29" xfId="0" applyBorder="1"/>
    <xf numFmtId="0" fontId="0" fillId="0" borderId="29" xfId="0" applyBorder="1" applyAlignment="1">
      <alignment horizontal="center" vertical="center"/>
    </xf>
    <xf numFmtId="0" fontId="0" fillId="0" borderId="30" xfId="0" applyBorder="1" applyAlignment="1">
      <alignment horizontal="center" vertical="center"/>
    </xf>
    <xf numFmtId="0" fontId="0" fillId="0" borderId="32" xfId="0" applyBorder="1" applyAlignment="1">
      <alignment horizontal="center"/>
    </xf>
    <xf numFmtId="164" fontId="0" fillId="0" borderId="29" xfId="0" applyNumberFormat="1" applyBorder="1" applyAlignment="1">
      <alignment horizontal="center" vertical="center"/>
    </xf>
    <xf numFmtId="164" fontId="0" fillId="0" borderId="0" xfId="0" applyNumberFormat="1" applyBorder="1" applyAlignment="1">
      <alignment horizontal="center" vertical="center"/>
    </xf>
    <xf numFmtId="164" fontId="0" fillId="0" borderId="34" xfId="0" applyNumberFormat="1" applyBorder="1" applyAlignment="1">
      <alignment horizontal="center" vertical="center"/>
    </xf>
    <xf numFmtId="164" fontId="0" fillId="0" borderId="0" xfId="0" applyNumberFormat="1" applyBorder="1" applyAlignment="1">
      <alignment horizontal="center"/>
    </xf>
    <xf numFmtId="10" fontId="0" fillId="0" borderId="0" xfId="1" applyNumberFormat="1" applyFont="1" applyAlignment="1">
      <alignment horizontal="center"/>
    </xf>
    <xf numFmtId="168" fontId="0" fillId="0" borderId="0" xfId="0" applyNumberFormat="1" applyAlignment="1">
      <alignment horizontal="center" vertical="center"/>
    </xf>
    <xf numFmtId="0" fontId="0" fillId="0" borderId="0" xfId="0" applyFill="1"/>
    <xf numFmtId="0" fontId="0" fillId="0" borderId="36" xfId="0" applyFill="1" applyBorder="1" applyAlignment="1">
      <alignment horizontal="left" vertical="center"/>
    </xf>
    <xf numFmtId="0" fontId="0" fillId="0" borderId="0" xfId="0" applyFill="1" applyBorder="1" applyAlignment="1">
      <alignment horizontal="left" vertical="center" wrapText="1"/>
    </xf>
    <xf numFmtId="44" fontId="0" fillId="0" borderId="0" xfId="3" applyFont="1"/>
    <xf numFmtId="0" fontId="12" fillId="13" borderId="43" xfId="0" applyFont="1" applyFill="1" applyBorder="1" applyAlignment="1">
      <alignment horizontal="left" vertical="center" wrapText="1"/>
    </xf>
    <xf numFmtId="0" fontId="12" fillId="13" borderId="43" xfId="0" applyFont="1" applyFill="1" applyBorder="1" applyAlignment="1">
      <alignment horizontal="left" vertical="center"/>
    </xf>
    <xf numFmtId="0" fontId="12" fillId="13" borderId="44" xfId="0" applyFont="1" applyFill="1" applyBorder="1" applyAlignment="1">
      <alignment horizontal="left" vertical="center"/>
    </xf>
    <xf numFmtId="0" fontId="12" fillId="13" borderId="45" xfId="0" applyFont="1" applyFill="1" applyBorder="1" applyAlignment="1">
      <alignment horizontal="left" vertical="center"/>
    </xf>
    <xf numFmtId="0" fontId="12" fillId="13" borderId="44" xfId="0" applyFont="1" applyFill="1" applyBorder="1" applyAlignment="1">
      <alignment horizontal="left" vertical="center" wrapText="1"/>
    </xf>
    <xf numFmtId="8" fontId="13" fillId="13" borderId="0" xfId="0" applyNumberFormat="1" applyFont="1" applyFill="1"/>
    <xf numFmtId="0" fontId="13" fillId="13" borderId="0" xfId="0" applyFont="1" applyFill="1"/>
    <xf numFmtId="0" fontId="12" fillId="13" borderId="0" xfId="0" applyFont="1" applyFill="1"/>
    <xf numFmtId="0" fontId="0" fillId="0" borderId="0" xfId="0" applyAlignment="1">
      <alignment horizontal="center" vertical="center"/>
    </xf>
    <xf numFmtId="0" fontId="0" fillId="0" borderId="0" xfId="0" applyAlignment="1">
      <alignment horizontal="center"/>
    </xf>
    <xf numFmtId="9" fontId="0" fillId="0" borderId="0" xfId="0" applyNumberFormat="1"/>
    <xf numFmtId="9" fontId="12" fillId="13" borderId="44" xfId="0" applyNumberFormat="1" applyFont="1" applyFill="1" applyBorder="1" applyAlignment="1">
      <alignment horizontal="center" vertical="center"/>
    </xf>
    <xf numFmtId="170" fontId="0" fillId="0" borderId="0" xfId="0" applyNumberFormat="1"/>
    <xf numFmtId="173" fontId="3" fillId="0" borderId="10" xfId="2" applyNumberFormat="1" applyFont="1" applyBorder="1" applyAlignment="1">
      <alignment horizontal="center"/>
    </xf>
    <xf numFmtId="173" fontId="3" fillId="0" borderId="10" xfId="0" applyNumberFormat="1" applyFont="1" applyBorder="1" applyAlignment="1">
      <alignment horizontal="center"/>
    </xf>
    <xf numFmtId="173" fontId="3" fillId="9" borderId="10" xfId="2" applyNumberFormat="1" applyFont="1" applyFill="1" applyBorder="1" applyAlignment="1"/>
    <xf numFmtId="173" fontId="3" fillId="0" borderId="10" xfId="0" applyNumberFormat="1" applyFont="1" applyBorder="1" applyAlignment="1">
      <alignment horizontal="center" vertical="center"/>
    </xf>
    <xf numFmtId="173" fontId="3" fillId="10" borderId="0" xfId="2" applyNumberFormat="1" applyFont="1" applyFill="1"/>
    <xf numFmtId="167" fontId="3" fillId="10" borderId="10" xfId="0" applyNumberFormat="1" applyFont="1" applyFill="1" applyBorder="1" applyAlignment="1">
      <alignment horizontal="center"/>
    </xf>
    <xf numFmtId="174" fontId="3" fillId="10" borderId="10" xfId="0" applyNumberFormat="1" applyFont="1" applyFill="1" applyBorder="1" applyAlignment="1">
      <alignment horizontal="center"/>
    </xf>
    <xf numFmtId="0" fontId="15" fillId="12" borderId="46" xfId="0" applyFont="1" applyFill="1" applyBorder="1" applyAlignment="1">
      <alignment horizontal="left" vertical="center" wrapText="1"/>
    </xf>
    <xf numFmtId="0" fontId="15" fillId="12" borderId="47" xfId="0" applyFont="1" applyFill="1" applyBorder="1" applyAlignment="1">
      <alignment horizontal="left" vertical="center" wrapText="1"/>
    </xf>
    <xf numFmtId="0" fontId="15" fillId="12" borderId="48" xfId="0" applyFont="1" applyFill="1" applyBorder="1" applyAlignment="1">
      <alignment horizontal="left" vertical="center"/>
    </xf>
    <xf numFmtId="0" fontId="15" fillId="12" borderId="48" xfId="0" applyFont="1" applyFill="1" applyBorder="1" applyAlignment="1">
      <alignment horizontal="left" vertical="center" wrapText="1"/>
    </xf>
    <xf numFmtId="0" fontId="15" fillId="12" borderId="49" xfId="0" applyFont="1" applyFill="1" applyBorder="1" applyAlignment="1">
      <alignment horizontal="left" vertical="center"/>
    </xf>
    <xf numFmtId="0" fontId="15" fillId="12" borderId="50" xfId="0" applyFont="1" applyFill="1" applyBorder="1" applyAlignment="1">
      <alignment horizontal="left" vertical="center"/>
    </xf>
    <xf numFmtId="1" fontId="11" fillId="10" borderId="46" xfId="0" applyNumberFormat="1" applyFont="1" applyFill="1" applyBorder="1" applyAlignment="1">
      <alignment horizontal="center"/>
    </xf>
    <xf numFmtId="2" fontId="11" fillId="10" borderId="46" xfId="0" applyNumberFormat="1" applyFont="1" applyFill="1" applyBorder="1" applyAlignment="1">
      <alignment horizontal="center"/>
    </xf>
    <xf numFmtId="1" fontId="11" fillId="10" borderId="53" xfId="0" applyNumberFormat="1" applyFont="1" applyFill="1" applyBorder="1" applyAlignment="1">
      <alignment horizontal="center"/>
    </xf>
    <xf numFmtId="2" fontId="11" fillId="10" borderId="53" xfId="0" applyNumberFormat="1" applyFont="1" applyFill="1" applyBorder="1" applyAlignment="1">
      <alignment horizontal="center"/>
    </xf>
    <xf numFmtId="2" fontId="11" fillId="14" borderId="53" xfId="2" applyNumberFormat="1" applyFont="1" applyFill="1" applyBorder="1" applyAlignment="1"/>
    <xf numFmtId="3" fontId="11" fillId="14" borderId="53" xfId="2" applyNumberFormat="1" applyFont="1" applyFill="1" applyBorder="1" applyAlignment="1">
      <alignment horizontal="center" vertical="center"/>
    </xf>
    <xf numFmtId="0" fontId="15" fillId="12" borderId="51" xfId="0" applyFont="1" applyFill="1" applyBorder="1" applyAlignment="1">
      <alignment horizontal="left" vertical="center" wrapText="1"/>
    </xf>
    <xf numFmtId="0" fontId="15" fillId="12" borderId="54" xfId="0" applyFont="1" applyFill="1" applyBorder="1" applyAlignment="1">
      <alignment horizontal="left" vertical="center" wrapText="1"/>
    </xf>
    <xf numFmtId="1" fontId="11" fillId="10" borderId="48" xfId="0" applyNumberFormat="1" applyFont="1" applyFill="1" applyBorder="1" applyAlignment="1">
      <alignment horizontal="center"/>
    </xf>
    <xf numFmtId="2" fontId="11" fillId="10" borderId="48" xfId="0" applyNumberFormat="1" applyFont="1" applyFill="1" applyBorder="1" applyAlignment="1">
      <alignment horizontal="center"/>
    </xf>
    <xf numFmtId="2" fontId="11" fillId="10" borderId="56" xfId="2" applyNumberFormat="1" applyFont="1" applyFill="1" applyBorder="1" applyAlignment="1">
      <alignment horizontal="center"/>
    </xf>
    <xf numFmtId="3" fontId="11" fillId="10" borderId="56" xfId="2" applyNumberFormat="1" applyFont="1" applyFill="1" applyBorder="1" applyAlignment="1">
      <alignment horizontal="center" vertical="center"/>
    </xf>
    <xf numFmtId="0" fontId="15" fillId="10" borderId="0" xfId="0" applyFont="1" applyFill="1" applyAlignment="1">
      <alignment horizontal="left" vertical="center" wrapText="1"/>
    </xf>
    <xf numFmtId="1" fontId="15" fillId="10" borderId="0" xfId="0" applyNumberFormat="1" applyFont="1" applyFill="1" applyAlignment="1">
      <alignment horizontal="left" vertical="center" wrapText="1"/>
    </xf>
    <xf numFmtId="2" fontId="11" fillId="10" borderId="0" xfId="0" applyNumberFormat="1" applyFont="1" applyFill="1" applyAlignment="1">
      <alignment horizontal="center"/>
    </xf>
    <xf numFmtId="169" fontId="11" fillId="10" borderId="0" xfId="0" applyNumberFormat="1" applyFont="1" applyFill="1" applyAlignment="1">
      <alignment horizontal="center"/>
    </xf>
    <xf numFmtId="1" fontId="11" fillId="10" borderId="0" xfId="0" applyNumberFormat="1" applyFont="1" applyFill="1" applyAlignment="1">
      <alignment horizontal="center"/>
    </xf>
    <xf numFmtId="2" fontId="15" fillId="12" borderId="48" xfId="0" applyNumberFormat="1" applyFont="1" applyFill="1" applyBorder="1" applyAlignment="1">
      <alignment horizontal="left" vertical="center"/>
    </xf>
    <xf numFmtId="4" fontId="11" fillId="10" borderId="53" xfId="2" applyNumberFormat="1" applyFont="1" applyFill="1" applyBorder="1" applyAlignment="1">
      <alignment horizontal="center"/>
    </xf>
    <xf numFmtId="2" fontId="11" fillId="14" borderId="53" xfId="2" applyNumberFormat="1" applyFont="1" applyFill="1" applyBorder="1"/>
    <xf numFmtId="2" fontId="11" fillId="14" borderId="50" xfId="2" applyNumberFormat="1" applyFont="1" applyFill="1" applyBorder="1"/>
    <xf numFmtId="3" fontId="11" fillId="14" borderId="50" xfId="2" applyNumberFormat="1" applyFont="1" applyFill="1" applyBorder="1" applyAlignment="1">
      <alignment horizontal="center" vertical="center"/>
    </xf>
    <xf numFmtId="168" fontId="11" fillId="10" borderId="56" xfId="2" applyNumberFormat="1" applyFont="1" applyFill="1" applyBorder="1" applyAlignment="1">
      <alignment horizontal="center"/>
    </xf>
    <xf numFmtId="2" fontId="11" fillId="14" borderId="48" xfId="0" applyNumberFormat="1" applyFont="1" applyFill="1" applyBorder="1" applyAlignment="1">
      <alignment horizontal="center"/>
    </xf>
    <xf numFmtId="1" fontId="11" fillId="10" borderId="0" xfId="0" applyNumberFormat="1" applyFont="1" applyFill="1"/>
    <xf numFmtId="175" fontId="11" fillId="10" borderId="0" xfId="2" applyNumberFormat="1" applyFont="1" applyFill="1"/>
    <xf numFmtId="1" fontId="0" fillId="0" borderId="0" xfId="0" applyNumberFormat="1" applyAlignment="1">
      <alignment horizontal="center" vertical="center"/>
    </xf>
    <xf numFmtId="170" fontId="3" fillId="0" borderId="10" xfId="0" applyNumberFormat="1" applyFont="1" applyBorder="1" applyAlignment="1">
      <alignment horizontal="center" vertical="center"/>
    </xf>
    <xf numFmtId="176" fontId="3" fillId="0" borderId="10" xfId="0" applyNumberFormat="1" applyFont="1" applyBorder="1" applyAlignment="1">
      <alignment horizontal="center"/>
    </xf>
    <xf numFmtId="177" fontId="3" fillId="0" borderId="10" xfId="0" applyNumberFormat="1" applyFont="1" applyBorder="1" applyAlignment="1">
      <alignment horizontal="center"/>
    </xf>
    <xf numFmtId="178" fontId="0" fillId="0" borderId="0" xfId="0" applyNumberFormat="1"/>
    <xf numFmtId="0" fontId="0" fillId="0" borderId="0" xfId="0" applyAlignment="1">
      <alignment horizontal="center" vertical="center"/>
    </xf>
    <xf numFmtId="0" fontId="0" fillId="0" borderId="0" xfId="0" applyAlignment="1">
      <alignment horizontal="center"/>
    </xf>
    <xf numFmtId="2" fontId="0" fillId="0" borderId="0" xfId="0" applyNumberFormat="1" applyAlignment="1">
      <alignment horizontal="center" vertical="center"/>
    </xf>
    <xf numFmtId="0" fontId="3" fillId="0" borderId="0" xfId="0" applyFont="1" applyFill="1" applyBorder="1"/>
    <xf numFmtId="10" fontId="0" fillId="15" borderId="0" xfId="0" applyNumberFormat="1" applyFill="1" applyAlignment="1">
      <alignment horizont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xf>
    <xf numFmtId="164" fontId="2" fillId="5" borderId="1" xfId="0" applyNumberFormat="1" applyFont="1" applyFill="1" applyBorder="1" applyAlignment="1">
      <alignment horizontal="center" vertical="center" wrapText="1"/>
    </xf>
    <xf numFmtId="3" fontId="0" fillId="0" borderId="0" xfId="0" applyNumberFormat="1"/>
    <xf numFmtId="10" fontId="0" fillId="0" borderId="0" xfId="1" applyNumberFormat="1" applyFont="1"/>
    <xf numFmtId="164" fontId="0" fillId="16" borderId="3" xfId="0" applyNumberFormat="1" applyFill="1" applyBorder="1" applyAlignment="1">
      <alignment horizontal="center" vertical="center"/>
    </xf>
    <xf numFmtId="4" fontId="0" fillId="0" borderId="0" xfId="0" applyNumberFormat="1"/>
    <xf numFmtId="164" fontId="0" fillId="17" borderId="3" xfId="0" applyNumberFormat="1" applyFill="1" applyBorder="1" applyAlignment="1">
      <alignment horizontal="center" vertical="center"/>
    </xf>
    <xf numFmtId="0" fontId="0" fillId="3" borderId="4" xfId="0" applyFill="1" applyBorder="1" applyAlignment="1">
      <alignment horizontal="center" vertical="center"/>
    </xf>
    <xf numFmtId="164" fontId="20" fillId="17" borderId="3" xfId="0" applyNumberFormat="1" applyFont="1" applyFill="1" applyBorder="1" applyAlignment="1">
      <alignment horizontal="center" vertical="center"/>
    </xf>
    <xf numFmtId="164" fontId="20" fillId="16" borderId="3" xfId="0" applyNumberFormat="1" applyFont="1" applyFill="1" applyBorder="1" applyAlignment="1">
      <alignment horizontal="center" vertical="center"/>
    </xf>
    <xf numFmtId="164" fontId="20" fillId="3" borderId="3" xfId="0" applyNumberFormat="1" applyFont="1" applyFill="1" applyBorder="1" applyAlignment="1">
      <alignment horizontal="center" vertical="center"/>
    </xf>
    <xf numFmtId="164" fontId="20" fillId="6" borderId="3" xfId="0" applyNumberFormat="1" applyFont="1" applyFill="1" applyBorder="1" applyAlignment="1">
      <alignment horizontal="center" vertical="center"/>
    </xf>
    <xf numFmtId="164" fontId="2" fillId="2" borderId="4" xfId="0" applyNumberFormat="1" applyFont="1" applyFill="1" applyBorder="1" applyAlignment="1">
      <alignment horizontal="center" vertical="center" wrapText="1"/>
    </xf>
    <xf numFmtId="0" fontId="0" fillId="0" borderId="31" xfId="0" applyBorder="1" applyAlignment="1">
      <alignment vertical="center" wrapText="1"/>
    </xf>
    <xf numFmtId="0" fontId="0" fillId="18" borderId="0" xfId="0" applyFont="1" applyFill="1" applyBorder="1" applyAlignment="1">
      <alignment horizontal="center" vertical="center"/>
    </xf>
    <xf numFmtId="0" fontId="0" fillId="4" borderId="0" xfId="0" applyFill="1" applyAlignment="1">
      <alignment horizontal="center" vertical="center" wrapText="1"/>
    </xf>
    <xf numFmtId="0" fontId="0" fillId="0" borderId="0" xfId="0" applyFill="1" applyAlignment="1">
      <alignment horizontal="center" vertical="center" wrapText="1"/>
    </xf>
    <xf numFmtId="10" fontId="0" fillId="18" borderId="0" xfId="0" applyNumberFormat="1" applyFill="1" applyAlignment="1">
      <alignment horizontal="center" vertical="center"/>
    </xf>
    <xf numFmtId="0" fontId="0" fillId="18" borderId="0" xfId="0" applyFill="1" applyAlignment="1">
      <alignment horizontal="center"/>
    </xf>
    <xf numFmtId="0" fontId="0" fillId="18" borderId="0" xfId="0" applyFill="1"/>
    <xf numFmtId="0" fontId="0" fillId="0" borderId="0" xfId="0" applyAlignment="1">
      <alignment horizontal="center" vertical="center"/>
    </xf>
    <xf numFmtId="2" fontId="0" fillId="0" borderId="0" xfId="0" applyNumberFormat="1" applyAlignment="1">
      <alignment horizontal="center" vertical="center"/>
    </xf>
    <xf numFmtId="1" fontId="0" fillId="4" borderId="3" xfId="0" applyNumberFormat="1" applyFill="1" applyBorder="1" applyAlignment="1">
      <alignment horizontal="center" vertical="center"/>
    </xf>
    <xf numFmtId="0" fontId="0" fillId="18" borderId="3" xfId="0" applyFill="1" applyBorder="1" applyAlignment="1">
      <alignment horizontal="center" vertical="center"/>
    </xf>
    <xf numFmtId="0" fontId="3" fillId="18" borderId="10" xfId="0" applyFont="1" applyFill="1" applyBorder="1" applyAlignment="1">
      <alignment horizontal="center"/>
    </xf>
    <xf numFmtId="1" fontId="0" fillId="18" borderId="3" xfId="0" applyNumberFormat="1" applyFill="1" applyBorder="1" applyAlignment="1">
      <alignment horizontal="center" vertical="center"/>
    </xf>
    <xf numFmtId="168" fontId="0" fillId="4" borderId="0" xfId="0" applyNumberFormat="1" applyFill="1" applyAlignment="1">
      <alignment horizontal="center" vertical="center"/>
    </xf>
    <xf numFmtId="0" fontId="0" fillId="0" borderId="0" xfId="0" applyAlignment="1">
      <alignment horizontal="left" vertical="center"/>
    </xf>
    <xf numFmtId="0" fontId="0" fillId="0" borderId="0" xfId="0" applyAlignment="1">
      <alignment horizontal="left"/>
    </xf>
    <xf numFmtId="0" fontId="0" fillId="0" borderId="0" xfId="0" applyNumberFormat="1" applyAlignment="1">
      <alignment horizontal="left" vertical="center"/>
    </xf>
    <xf numFmtId="0" fontId="0" fillId="19" borderId="0" xfId="0" applyFill="1" applyAlignment="1">
      <alignment horizontal="center" vertical="center"/>
    </xf>
    <xf numFmtId="2" fontId="0" fillId="19" borderId="0" xfId="0" applyNumberFormat="1" applyFill="1" applyAlignment="1">
      <alignment horizontal="center" vertical="center"/>
    </xf>
    <xf numFmtId="164" fontId="0" fillId="19" borderId="0" xfId="0" applyNumberFormat="1" applyFill="1" applyAlignment="1">
      <alignment horizontal="center" vertical="center"/>
    </xf>
    <xf numFmtId="9" fontId="0" fillId="19" borderId="0" xfId="1" applyFont="1" applyFill="1" applyAlignment="1">
      <alignment horizontal="center" vertical="center"/>
    </xf>
    <xf numFmtId="2" fontId="0" fillId="19" borderId="0" xfId="0" applyNumberFormat="1" applyFill="1"/>
    <xf numFmtId="0" fontId="0" fillId="19" borderId="0" xfId="0" applyFill="1" applyAlignment="1">
      <alignment horizontal="left" vertical="center"/>
    </xf>
    <xf numFmtId="0" fontId="0" fillId="19" borderId="0" xfId="0" applyFill="1"/>
    <xf numFmtId="168" fontId="0" fillId="19" borderId="0" xfId="0" applyNumberFormat="1" applyFill="1" applyAlignment="1">
      <alignment horizontal="center" vertical="center"/>
    </xf>
    <xf numFmtId="179" fontId="0" fillId="0" borderId="0" xfId="0" applyNumberFormat="1"/>
    <xf numFmtId="0" fontId="0" fillId="0" borderId="0" xfId="0" applyAlignment="1">
      <alignment horizontal="center" vertical="center"/>
    </xf>
    <xf numFmtId="0" fontId="0" fillId="0" borderId="0" xfId="0" applyAlignment="1">
      <alignment horizontal="center"/>
    </xf>
    <xf numFmtId="2" fontId="0" fillId="0" borderId="0" xfId="0" applyNumberFormat="1" applyAlignment="1">
      <alignment horizontal="center" vertical="center"/>
    </xf>
    <xf numFmtId="0" fontId="0" fillId="0" borderId="0" xfId="0" applyAlignment="1">
      <alignment horizontal="center" vertical="center"/>
    </xf>
    <xf numFmtId="0" fontId="21" fillId="0" borderId="57" xfId="0" applyFont="1" applyBorder="1"/>
    <xf numFmtId="168" fontId="21" fillId="0" borderId="57" xfId="0" applyNumberFormat="1" applyFont="1" applyBorder="1"/>
    <xf numFmtId="2" fontId="21" fillId="0" borderId="57" xfId="0" applyNumberFormat="1" applyFont="1" applyBorder="1"/>
    <xf numFmtId="0" fontId="22" fillId="20" borderId="0" xfId="0" applyFont="1" applyFill="1"/>
    <xf numFmtId="0" fontId="22" fillId="20" borderId="0" xfId="0" applyFont="1" applyFill="1" applyAlignment="1">
      <alignment horizontal="center"/>
    </xf>
    <xf numFmtId="0" fontId="23" fillId="0" borderId="57" xfId="0" applyFont="1" applyBorder="1"/>
    <xf numFmtId="0" fontId="23" fillId="0" borderId="57" xfId="0" applyFont="1" applyBorder="1" applyAlignment="1">
      <alignment horizontal="left"/>
    </xf>
    <xf numFmtId="171" fontId="23" fillId="0" borderId="57" xfId="1" applyNumberFormat="1" applyFont="1" applyFill="1" applyBorder="1" applyProtection="1"/>
    <xf numFmtId="164" fontId="23" fillId="0" borderId="57" xfId="0" applyNumberFormat="1" applyFont="1" applyBorder="1"/>
    <xf numFmtId="0" fontId="23" fillId="0" borderId="57" xfId="0" applyFont="1" applyBorder="1" applyAlignment="1">
      <alignment vertical="center" wrapText="1"/>
    </xf>
    <xf numFmtId="169" fontId="23" fillId="0" borderId="57" xfId="0" applyNumberFormat="1" applyFont="1" applyBorder="1"/>
    <xf numFmtId="170" fontId="0" fillId="0" borderId="0" xfId="0" applyNumberFormat="1" applyAlignment="1">
      <alignment horizontal="center" vertical="center"/>
    </xf>
    <xf numFmtId="0" fontId="24" fillId="10" borderId="0" xfId="0" applyFont="1" applyFill="1" applyAlignment="1">
      <alignment horizontal="left"/>
    </xf>
    <xf numFmtId="0" fontId="21" fillId="0" borderId="0" xfId="0" applyFont="1" applyAlignment="1">
      <alignment horizontal="center"/>
    </xf>
    <xf numFmtId="0" fontId="23" fillId="10" borderId="0" xfId="0" applyFont="1" applyFill="1"/>
    <xf numFmtId="0" fontId="25" fillId="10" borderId="0" xfId="0" applyFont="1" applyFill="1" applyAlignment="1">
      <alignment horizontal="right"/>
    </xf>
    <xf numFmtId="0" fontId="25" fillId="10" borderId="0" xfId="0" applyFont="1" applyFill="1" applyAlignment="1">
      <alignment horizontal="center"/>
    </xf>
    <xf numFmtId="0" fontId="25" fillId="21" borderId="0" xfId="0" applyFont="1" applyFill="1" applyAlignment="1">
      <alignment horizontal="left"/>
    </xf>
    <xf numFmtId="0" fontId="26" fillId="21" borderId="58" xfId="0" applyFont="1" applyFill="1" applyBorder="1" applyAlignment="1">
      <alignment vertical="center"/>
    </xf>
    <xf numFmtId="0" fontId="26" fillId="0" borderId="58" xfId="0" applyFont="1" applyBorder="1" applyAlignment="1">
      <alignment vertical="center"/>
    </xf>
    <xf numFmtId="0" fontId="27" fillId="20" borderId="57" xfId="0" applyFont="1" applyFill="1" applyBorder="1" applyAlignment="1">
      <alignment horizontal="center" vertical="center" wrapText="1"/>
    </xf>
    <xf numFmtId="0" fontId="23" fillId="10" borderId="61" xfId="0" applyFont="1" applyFill="1" applyBorder="1" applyAlignment="1">
      <alignment horizontal="center" vertical="center" wrapText="1"/>
    </xf>
    <xf numFmtId="180" fontId="23" fillId="0" borderId="61" xfId="0" applyNumberFormat="1" applyFont="1" applyBorder="1" applyAlignment="1">
      <alignment horizontal="center" vertical="center" wrapText="1"/>
    </xf>
    <xf numFmtId="0" fontId="23" fillId="10" borderId="57" xfId="0" applyFont="1" applyFill="1" applyBorder="1" applyAlignment="1">
      <alignment horizontal="center" vertical="center" wrapText="1"/>
    </xf>
    <xf numFmtId="181" fontId="23" fillId="0" borderId="61" xfId="0" applyNumberFormat="1" applyFont="1" applyBorder="1" applyAlignment="1">
      <alignment horizontal="center" vertical="center" wrapText="1"/>
    </xf>
    <xf numFmtId="0" fontId="23" fillId="10" borderId="57" xfId="0" applyFont="1" applyFill="1" applyBorder="1" applyAlignment="1">
      <alignment horizontal="center" vertical="center"/>
    </xf>
    <xf numFmtId="180" fontId="23" fillId="0" borderId="57" xfId="0" applyNumberFormat="1" applyFont="1" applyBorder="1" applyAlignment="1">
      <alignment horizontal="center" vertical="center" wrapText="1"/>
    </xf>
    <xf numFmtId="181" fontId="23" fillId="0" borderId="57" xfId="0" applyNumberFormat="1" applyFont="1" applyBorder="1" applyAlignment="1">
      <alignment horizontal="center" vertical="center" wrapText="1"/>
    </xf>
    <xf numFmtId="0" fontId="23" fillId="0" borderId="62" xfId="0" applyFont="1" applyBorder="1"/>
    <xf numFmtId="0" fontId="29" fillId="21" borderId="0" xfId="0" applyFont="1" applyFill="1" applyAlignment="1">
      <alignment horizontal="center" vertical="center"/>
    </xf>
    <xf numFmtId="0" fontId="23" fillId="21" borderId="0" xfId="0" applyFont="1" applyFill="1" applyAlignment="1">
      <alignment horizontal="left" vertical="center" wrapText="1"/>
    </xf>
    <xf numFmtId="3" fontId="23" fillId="0" borderId="0" xfId="0" applyNumberFormat="1" applyFont="1" applyAlignment="1">
      <alignment horizontal="center" vertical="center" wrapText="1"/>
    </xf>
    <xf numFmtId="173" fontId="23" fillId="0" borderId="0" xfId="0" applyNumberFormat="1" applyFont="1" applyAlignment="1">
      <alignment horizontal="center" vertical="center" wrapText="1"/>
    </xf>
    <xf numFmtId="0" fontId="23" fillId="0" borderId="63" xfId="0" applyFont="1" applyBorder="1"/>
    <xf numFmtId="0" fontId="23" fillId="0" borderId="58" xfId="0" applyFont="1" applyBorder="1"/>
    <xf numFmtId="0" fontId="23" fillId="0" borderId="0" xfId="0" applyFont="1"/>
    <xf numFmtId="0" fontId="25" fillId="10" borderId="0" xfId="0" applyFont="1" applyFill="1" applyAlignment="1">
      <alignment horizontal="left"/>
    </xf>
    <xf numFmtId="11" fontId="23" fillId="0" borderId="57" xfId="0" applyNumberFormat="1" applyFont="1" applyBorder="1" applyAlignment="1">
      <alignment horizontal="center" vertical="center" wrapText="1"/>
    </xf>
    <xf numFmtId="11" fontId="23" fillId="0" borderId="61" xfId="0" applyNumberFormat="1" applyFont="1" applyBorder="1" applyAlignment="1">
      <alignment horizontal="center" vertical="center" wrapText="1"/>
    </xf>
    <xf numFmtId="0" fontId="21" fillId="0" borderId="0" xfId="0" applyFont="1"/>
    <xf numFmtId="0" fontId="27" fillId="20" borderId="11" xfId="0" applyFont="1" applyFill="1" applyBorder="1" applyAlignment="1">
      <alignment horizontal="center" vertical="center" wrapText="1"/>
    </xf>
    <xf numFmtId="11" fontId="25" fillId="0" borderId="57" xfId="0" applyNumberFormat="1" applyFont="1" applyBorder="1" applyAlignment="1">
      <alignment horizontal="center" vertical="center" wrapText="1"/>
    </xf>
    <xf numFmtId="0" fontId="25" fillId="10" borderId="57" xfId="0" applyFont="1" applyFill="1" applyBorder="1" applyAlignment="1">
      <alignment horizontal="center" vertical="center" wrapText="1"/>
    </xf>
    <xf numFmtId="0" fontId="23" fillId="0" borderId="64" xfId="0" applyFont="1" applyBorder="1"/>
    <xf numFmtId="0" fontId="23" fillId="21" borderId="65" xfId="0" applyFont="1" applyFill="1" applyBorder="1" applyAlignment="1">
      <alignment horizontal="center" vertical="center" wrapText="1"/>
    </xf>
    <xf numFmtId="0" fontId="23" fillId="21" borderId="0" xfId="0" applyFont="1" applyFill="1" applyAlignment="1">
      <alignment vertical="center" wrapText="1"/>
    </xf>
    <xf numFmtId="0" fontId="23" fillId="21" borderId="0" xfId="0" applyFont="1" applyFill="1" applyAlignment="1">
      <alignment horizontal="center" vertical="center" wrapText="1"/>
    </xf>
    <xf numFmtId="0" fontId="24" fillId="10" borderId="0" xfId="0" applyFont="1" applyFill="1"/>
    <xf numFmtId="0" fontId="25" fillId="10" borderId="0" xfId="0" applyFont="1" applyFill="1"/>
    <xf numFmtId="0" fontId="25" fillId="21" borderId="0" xfId="0" applyFont="1" applyFill="1"/>
    <xf numFmtId="0" fontId="23" fillId="0" borderId="57" xfId="0" applyFont="1" applyBorder="1" applyAlignment="1">
      <alignment horizontal="center" vertical="center" wrapText="1"/>
    </xf>
    <xf numFmtId="0" fontId="23" fillId="0" borderId="61" xfId="0" applyFont="1" applyBorder="1" applyAlignment="1">
      <alignment horizontal="center" vertical="center" wrapText="1"/>
    </xf>
    <xf numFmtId="181" fontId="23" fillId="10" borderId="57" xfId="0" applyNumberFormat="1" applyFont="1" applyFill="1" applyBorder="1" applyAlignment="1">
      <alignment horizontal="right" vertical="center" wrapText="1"/>
    </xf>
    <xf numFmtId="181" fontId="23" fillId="10" borderId="57" xfId="0" applyNumberFormat="1" applyFont="1" applyFill="1" applyBorder="1" applyAlignment="1">
      <alignment horizontal="center" vertical="center" wrapText="1"/>
    </xf>
    <xf numFmtId="0" fontId="23" fillId="0" borderId="0" xfId="0" applyFont="1" applyAlignment="1">
      <alignment horizontal="center"/>
    </xf>
    <xf numFmtId="0" fontId="30" fillId="22" borderId="59" xfId="0" applyFont="1" applyFill="1" applyBorder="1" applyAlignment="1">
      <alignment vertical="center"/>
    </xf>
    <xf numFmtId="0" fontId="31" fillId="22" borderId="60" xfId="0" applyFont="1" applyFill="1" applyBorder="1" applyAlignment="1">
      <alignment vertical="center"/>
    </xf>
    <xf numFmtId="0" fontId="32" fillId="22" borderId="60" xfId="0" applyFont="1" applyFill="1" applyBorder="1" applyAlignment="1">
      <alignment horizontal="center" vertical="center"/>
    </xf>
    <xf numFmtId="0" fontId="33" fillId="22" borderId="60" xfId="0" applyFont="1" applyFill="1" applyBorder="1" applyAlignment="1">
      <alignment vertical="center"/>
    </xf>
    <xf numFmtId="0" fontId="25" fillId="0" borderId="0" xfId="0" applyFont="1"/>
    <xf numFmtId="0" fontId="22" fillId="23" borderId="66" xfId="0" applyFont="1" applyFill="1" applyBorder="1" applyAlignment="1">
      <alignment horizontal="left" vertical="center" wrapText="1" readingOrder="1"/>
    </xf>
    <xf numFmtId="0" fontId="22" fillId="23" borderId="11" xfId="0" applyFont="1" applyFill="1" applyBorder="1" applyAlignment="1">
      <alignment horizontal="left" vertical="center" wrapText="1" readingOrder="1"/>
    </xf>
    <xf numFmtId="0" fontId="22" fillId="23" borderId="67" xfId="0" applyFont="1" applyFill="1" applyBorder="1" applyAlignment="1">
      <alignment horizontal="left" vertical="center" wrapText="1" readingOrder="1"/>
    </xf>
    <xf numFmtId="0" fontId="22" fillId="23" borderId="13" xfId="0" applyFont="1" applyFill="1" applyBorder="1" applyAlignment="1">
      <alignment horizontal="left" vertical="center" wrapText="1" readingOrder="1"/>
    </xf>
    <xf numFmtId="0" fontId="22" fillId="23" borderId="68" xfId="0" applyFont="1" applyFill="1" applyBorder="1" applyAlignment="1">
      <alignment horizontal="center" wrapText="1" readingOrder="1"/>
    </xf>
    <xf numFmtId="0" fontId="22" fillId="23" borderId="11" xfId="0" applyFont="1" applyFill="1" applyBorder="1" applyAlignment="1">
      <alignment horizontal="center" wrapText="1" readingOrder="1"/>
    </xf>
    <xf numFmtId="0" fontId="22" fillId="23" borderId="69" xfId="0" applyFont="1" applyFill="1" applyBorder="1" applyAlignment="1">
      <alignment vertical="center" wrapText="1"/>
    </xf>
    <xf numFmtId="0" fontId="22" fillId="23" borderId="16" xfId="0" applyFont="1" applyFill="1" applyBorder="1" applyAlignment="1">
      <alignment vertical="center" wrapText="1"/>
    </xf>
    <xf numFmtId="0" fontId="22" fillId="23" borderId="70" xfId="0" applyFont="1" applyFill="1" applyBorder="1" applyAlignment="1">
      <alignment horizontal="center" wrapText="1" readingOrder="1"/>
    </xf>
    <xf numFmtId="0" fontId="22" fillId="23" borderId="16" xfId="0" applyFont="1" applyFill="1" applyBorder="1" applyAlignment="1">
      <alignment horizontal="center" wrapText="1" readingOrder="1"/>
    </xf>
    <xf numFmtId="0" fontId="22" fillId="23" borderId="16" xfId="0" applyFont="1" applyFill="1" applyBorder="1" applyAlignment="1">
      <alignment horizontal="center" vertical="center" wrapText="1"/>
    </xf>
    <xf numFmtId="0" fontId="22" fillId="23" borderId="16" xfId="0" applyFont="1" applyFill="1" applyBorder="1" applyAlignment="1">
      <alignment horizontal="center"/>
    </xf>
    <xf numFmtId="0" fontId="34" fillId="20" borderId="69" xfId="0" applyFont="1" applyFill="1" applyBorder="1" applyAlignment="1">
      <alignment horizontal="left" vertical="center" indent="1"/>
    </xf>
    <xf numFmtId="9" fontId="35" fillId="0" borderId="57" xfId="0" applyNumberFormat="1" applyFont="1" applyBorder="1" applyAlignment="1">
      <alignment horizontal="left" vertical="center" wrapText="1" readingOrder="1"/>
    </xf>
    <xf numFmtId="10" fontId="35" fillId="0" borderId="57" xfId="0" applyNumberFormat="1" applyFont="1" applyBorder="1" applyAlignment="1">
      <alignment horizontal="center" wrapText="1" readingOrder="1"/>
    </xf>
    <xf numFmtId="9" fontId="35" fillId="0" borderId="57" xfId="0" applyNumberFormat="1" applyFont="1" applyBorder="1" applyAlignment="1">
      <alignment horizontal="center" wrapText="1" readingOrder="1"/>
    </xf>
    <xf numFmtId="9" fontId="21" fillId="0" borderId="57" xfId="1" applyFont="1" applyFill="1" applyBorder="1" applyProtection="1"/>
    <xf numFmtId="169" fontId="21" fillId="0" borderId="57" xfId="0" applyNumberFormat="1" applyFont="1" applyBorder="1"/>
    <xf numFmtId="0" fontId="34" fillId="20" borderId="59" xfId="0" applyFont="1" applyFill="1" applyBorder="1" applyAlignment="1">
      <alignment horizontal="left" vertical="center" indent="1"/>
    </xf>
    <xf numFmtId="0" fontId="34" fillId="20" borderId="59" xfId="0" applyFont="1" applyFill="1" applyBorder="1" applyAlignment="1">
      <alignment horizontal="left" vertical="center" wrapText="1" indent="1"/>
    </xf>
    <xf numFmtId="10" fontId="35" fillId="0" borderId="57" xfId="0" applyNumberFormat="1" applyFont="1" applyBorder="1" applyAlignment="1">
      <alignment horizontal="left" vertical="center" wrapText="1" readingOrder="1"/>
    </xf>
    <xf numFmtId="183" fontId="0" fillId="0" borderId="0" xfId="0" applyNumberFormat="1"/>
    <xf numFmtId="0" fontId="22" fillId="20" borderId="57" xfId="0" applyFont="1" applyFill="1" applyBorder="1" applyAlignment="1">
      <alignment horizontal="center" vertical="center"/>
    </xf>
    <xf numFmtId="0" fontId="22" fillId="20" borderId="11" xfId="0" applyFont="1" applyFill="1" applyBorder="1" applyAlignment="1">
      <alignment horizontal="center" vertical="center" wrapText="1"/>
    </xf>
    <xf numFmtId="0" fontId="22" fillId="20" borderId="57" xfId="0" applyFont="1" applyFill="1" applyBorder="1" applyAlignment="1">
      <alignment horizontal="center" vertical="center" wrapText="1"/>
    </xf>
    <xf numFmtId="49" fontId="21" fillId="0" borderId="57" xfId="0" applyNumberFormat="1" applyFont="1" applyBorder="1" applyAlignment="1">
      <alignment horizontal="center" vertical="center"/>
    </xf>
    <xf numFmtId="0" fontId="23" fillId="0" borderId="57" xfId="0" applyFont="1" applyBorder="1" applyAlignment="1">
      <alignment horizontal="center" vertical="center"/>
    </xf>
    <xf numFmtId="0" fontId="23" fillId="21" borderId="57" xfId="0" applyFont="1" applyFill="1" applyBorder="1" applyAlignment="1">
      <alignment horizontal="center" vertical="center" wrapText="1"/>
    </xf>
    <xf numFmtId="181" fontId="23" fillId="0" borderId="57" xfId="0" applyNumberFormat="1" applyFont="1" applyBorder="1" applyAlignment="1">
      <alignment horizontal="center" vertical="center"/>
    </xf>
    <xf numFmtId="0" fontId="23" fillId="0" borderId="57" xfId="0" applyFont="1" applyBorder="1" applyAlignment="1">
      <alignment horizontal="left" vertical="center" wrapText="1"/>
    </xf>
    <xf numFmtId="184" fontId="23" fillId="0" borderId="57" xfId="0" applyNumberFormat="1" applyFont="1" applyBorder="1" applyAlignment="1">
      <alignment horizontal="left" vertical="center"/>
    </xf>
    <xf numFmtId="181" fontId="23" fillId="0" borderId="57" xfId="2" applyNumberFormat="1" applyFont="1" applyFill="1" applyBorder="1" applyAlignment="1" applyProtection="1">
      <alignment horizontal="center" vertical="center"/>
    </xf>
    <xf numFmtId="181" fontId="23" fillId="0" borderId="59" xfId="0" applyNumberFormat="1" applyFont="1" applyBorder="1" applyAlignment="1">
      <alignment horizontal="center" vertical="center" wrapText="1"/>
    </xf>
    <xf numFmtId="0" fontId="37" fillId="0" borderId="57" xfId="0" applyFont="1" applyBorder="1" applyAlignment="1">
      <alignment horizontal="center" vertical="center"/>
    </xf>
    <xf numFmtId="181" fontId="23" fillId="21" borderId="57" xfId="0" applyNumberFormat="1" applyFont="1" applyFill="1" applyBorder="1" applyAlignment="1">
      <alignment horizontal="center" vertical="center" wrapText="1"/>
    </xf>
    <xf numFmtId="0" fontId="21" fillId="0" borderId="57" xfId="0" applyFont="1" applyBorder="1" applyAlignment="1">
      <alignment horizontal="center" vertical="center"/>
    </xf>
    <xf numFmtId="169" fontId="23" fillId="0" borderId="57" xfId="0" applyNumberFormat="1" applyFont="1" applyBorder="1" applyAlignment="1">
      <alignment horizontal="center" vertical="center" wrapText="1"/>
    </xf>
    <xf numFmtId="0" fontId="37" fillId="0" borderId="57" xfId="0" applyFont="1" applyBorder="1" applyAlignment="1">
      <alignment horizontal="center" vertical="center" wrapText="1"/>
    </xf>
    <xf numFmtId="49" fontId="13" fillId="0" borderId="57" xfId="0" applyNumberFormat="1" applyFont="1" applyBorder="1" applyAlignment="1">
      <alignment horizontal="center" vertical="center" wrapText="1"/>
    </xf>
    <xf numFmtId="0" fontId="23" fillId="0" borderId="57" xfId="0" quotePrefix="1" applyFont="1" applyBorder="1" applyAlignment="1">
      <alignment horizontal="center" vertical="center" wrapText="1"/>
    </xf>
    <xf numFmtId="0" fontId="22" fillId="20" borderId="57" xfId="0" applyFont="1" applyFill="1" applyBorder="1" applyAlignment="1">
      <alignment horizontal="left" vertical="center"/>
    </xf>
    <xf numFmtId="0" fontId="21" fillId="0" borderId="57" xfId="0" applyFont="1" applyBorder="1" applyAlignment="1">
      <alignment horizontal="left" indent="2"/>
    </xf>
    <xf numFmtId="164" fontId="21" fillId="0" borderId="57" xfId="0" applyNumberFormat="1" applyFont="1" applyBorder="1" applyAlignment="1">
      <alignment horizontal="center"/>
    </xf>
    <xf numFmtId="0" fontId="21" fillId="0" borderId="57" xfId="0" applyFont="1" applyBorder="1" applyAlignment="1">
      <alignment horizontal="left" indent="1"/>
    </xf>
    <xf numFmtId="0" fontId="40" fillId="0" borderId="57" xfId="0" applyFont="1" applyBorder="1" applyAlignment="1">
      <alignment horizontal="left" indent="1"/>
    </xf>
    <xf numFmtId="0" fontId="22" fillId="20" borderId="57" xfId="0" applyFont="1" applyFill="1" applyBorder="1" applyAlignment="1">
      <alignment vertical="center"/>
    </xf>
    <xf numFmtId="0" fontId="27" fillId="20" borderId="11" xfId="0" applyFont="1" applyFill="1" applyBorder="1" applyAlignment="1">
      <alignment horizontal="center" vertical="center"/>
    </xf>
    <xf numFmtId="0" fontId="27" fillId="20" borderId="57" xfId="0" applyFont="1" applyFill="1" applyBorder="1" applyAlignment="1">
      <alignment horizontal="center" vertical="center"/>
    </xf>
    <xf numFmtId="0" fontId="27" fillId="20" borderId="59" xfId="0" applyFont="1" applyFill="1" applyBorder="1" applyAlignment="1">
      <alignment horizontal="center" vertical="center"/>
    </xf>
    <xf numFmtId="0" fontId="27" fillId="0" borderId="67" xfId="0" applyFont="1" applyBorder="1" applyAlignment="1">
      <alignment horizontal="center" vertical="center"/>
    </xf>
    <xf numFmtId="0" fontId="23" fillId="0" borderId="71" xfId="0" applyFont="1" applyBorder="1"/>
    <xf numFmtId="0" fontId="22" fillId="20" borderId="72" xfId="0" applyFont="1" applyFill="1" applyBorder="1" applyAlignment="1">
      <alignment horizontal="center" vertical="center"/>
    </xf>
    <xf numFmtId="3" fontId="23" fillId="0" borderId="59" xfId="0" applyNumberFormat="1" applyFont="1" applyBorder="1" applyAlignment="1">
      <alignment horizontal="center" vertical="center" wrapText="1"/>
    </xf>
    <xf numFmtId="0" fontId="23" fillId="0" borderId="67" xfId="0" applyFont="1" applyBorder="1" applyAlignment="1">
      <alignment vertical="center"/>
    </xf>
    <xf numFmtId="3" fontId="23" fillId="24" borderId="57" xfId="0" applyNumberFormat="1" applyFont="1" applyFill="1" applyBorder="1" applyAlignment="1">
      <alignment horizontal="center" vertical="center" wrapText="1"/>
    </xf>
    <xf numFmtId="0" fontId="23" fillId="0" borderId="11" xfId="0" applyFont="1" applyBorder="1" applyAlignment="1">
      <alignment vertical="center"/>
    </xf>
    <xf numFmtId="0" fontId="23" fillId="0" borderId="13" xfId="0" applyFont="1" applyBorder="1" applyAlignment="1">
      <alignment vertical="center"/>
    </xf>
    <xf numFmtId="0" fontId="23" fillId="0" borderId="0" xfId="0" applyFont="1" applyAlignment="1">
      <alignment horizontal="center" vertical="center"/>
    </xf>
    <xf numFmtId="0" fontId="23" fillId="0" borderId="16" xfId="0" applyFont="1" applyBorder="1" applyAlignment="1">
      <alignment vertical="center"/>
    </xf>
    <xf numFmtId="0" fontId="23" fillId="0" borderId="74" xfId="0" applyFont="1" applyBorder="1"/>
    <xf numFmtId="0" fontId="23" fillId="0" borderId="75" xfId="0" applyFont="1" applyBorder="1"/>
    <xf numFmtId="0" fontId="23" fillId="0" borderId="76" xfId="0" applyFont="1" applyBorder="1"/>
    <xf numFmtId="0" fontId="23" fillId="0" borderId="77" xfId="0" applyFont="1" applyBorder="1"/>
    <xf numFmtId="0" fontId="23" fillId="21" borderId="0" xfId="0" applyFont="1" applyFill="1" applyAlignment="1">
      <alignment horizontal="left" vertical="center"/>
    </xf>
    <xf numFmtId="0" fontId="23" fillId="0" borderId="16" xfId="0" applyFont="1" applyBorder="1" applyAlignment="1">
      <alignment horizontal="center" vertical="center"/>
    </xf>
    <xf numFmtId="0" fontId="23" fillId="0" borderId="67" xfId="0" applyFont="1" applyBorder="1" applyAlignment="1">
      <alignment vertical="center" wrapText="1"/>
    </xf>
    <xf numFmtId="0" fontId="23" fillId="0" borderId="67" xfId="0" applyFont="1" applyBorder="1" applyAlignment="1">
      <alignment horizontal="center" vertical="center" wrapText="1"/>
    </xf>
    <xf numFmtId="0" fontId="23" fillId="21" borderId="0" xfId="0" applyFont="1" applyFill="1" applyAlignment="1">
      <alignment horizontal="center" vertical="center"/>
    </xf>
    <xf numFmtId="3" fontId="23" fillId="21" borderId="0" xfId="0" applyNumberFormat="1" applyFont="1" applyFill="1" applyAlignment="1">
      <alignment horizontal="center" vertical="center" wrapText="1"/>
    </xf>
    <xf numFmtId="0" fontId="23" fillId="0" borderId="0" xfId="0" applyFont="1" applyAlignment="1">
      <alignment vertical="center" wrapText="1"/>
    </xf>
    <xf numFmtId="0" fontId="22" fillId="20" borderId="0" xfId="0" applyFont="1" applyFill="1" applyAlignment="1">
      <alignment horizontal="center" vertical="center"/>
    </xf>
    <xf numFmtId="185" fontId="0" fillId="0" borderId="0" xfId="0" applyNumberFormat="1" applyAlignment="1">
      <alignment horizontal="center" vertical="center"/>
    </xf>
    <xf numFmtId="182" fontId="0" fillId="0" borderId="0" xfId="0" applyNumberFormat="1" applyAlignment="1">
      <alignment horizontal="center" vertical="center"/>
    </xf>
    <xf numFmtId="11" fontId="0" fillId="0" borderId="0" xfId="0" applyNumberFormat="1" applyAlignment="1">
      <alignment horizontal="center" vertical="center"/>
    </xf>
    <xf numFmtId="2" fontId="23" fillId="0" borderId="61" xfId="0" applyNumberFormat="1" applyFont="1" applyBorder="1" applyAlignment="1">
      <alignment horizontal="center" vertical="center" wrapText="1"/>
    </xf>
    <xf numFmtId="171" fontId="23" fillId="0" borderId="57" xfId="1" applyNumberFormat="1" applyFont="1" applyFill="1" applyBorder="1" applyAlignment="1" applyProtection="1">
      <alignment horizontal="center" vertical="center"/>
    </xf>
    <xf numFmtId="168" fontId="23" fillId="0" borderId="57" xfId="0" applyNumberFormat="1" applyFont="1" applyBorder="1" applyAlignment="1">
      <alignment horizontal="center" vertical="center"/>
    </xf>
    <xf numFmtId="169" fontId="23" fillId="0" borderId="57" xfId="0" applyNumberFormat="1" applyFont="1" applyBorder="1" applyAlignment="1">
      <alignment horizontal="center" vertical="center"/>
    </xf>
    <xf numFmtId="171" fontId="0" fillId="0" borderId="0" xfId="0" applyNumberFormat="1" applyAlignment="1">
      <alignment horizontal="center"/>
    </xf>
    <xf numFmtId="10" fontId="0" fillId="0" borderId="0" xfId="0" applyNumberFormat="1" applyAlignment="1">
      <alignment horizontal="center" vertical="center"/>
    </xf>
    <xf numFmtId="9" fontId="0" fillId="0" borderId="0" xfId="0" applyNumberFormat="1" applyAlignment="1">
      <alignment horizontal="center"/>
    </xf>
    <xf numFmtId="2" fontId="23" fillId="18" borderId="61" xfId="0" applyNumberFormat="1" applyFont="1" applyFill="1" applyBorder="1" applyAlignment="1">
      <alignment horizontal="center" vertical="center" wrapText="1"/>
    </xf>
    <xf numFmtId="186" fontId="0" fillId="0" borderId="0" xfId="0" applyNumberFormat="1" applyAlignment="1">
      <alignment horizontal="center" vertical="center"/>
    </xf>
    <xf numFmtId="0" fontId="21" fillId="0" borderId="57" xfId="0" applyFont="1" applyBorder="1" applyAlignment="1">
      <alignment horizontal="center" vertical="center" wrapText="1"/>
    </xf>
    <xf numFmtId="169" fontId="21" fillId="0" borderId="57" xfId="0" applyNumberFormat="1" applyFont="1" applyBorder="1" applyAlignment="1">
      <alignment horizontal="center" vertical="center"/>
    </xf>
    <xf numFmtId="0" fontId="0" fillId="0" borderId="57" xfId="0" applyBorder="1"/>
    <xf numFmtId="0" fontId="3" fillId="9" borderId="12" xfId="0" applyFont="1" applyFill="1" applyBorder="1" applyAlignment="1">
      <alignment vertical="center" wrapText="1"/>
    </xf>
    <xf numFmtId="0" fontId="3" fillId="9" borderId="14" xfId="0" applyFont="1" applyFill="1" applyBorder="1" applyAlignment="1">
      <alignment vertical="center" wrapText="1"/>
    </xf>
    <xf numFmtId="0" fontId="3" fillId="9" borderId="15" xfId="0" applyFont="1" applyFill="1" applyBorder="1" applyAlignment="1">
      <alignment vertical="center" wrapText="1"/>
    </xf>
    <xf numFmtId="0" fontId="3" fillId="9" borderId="10" xfId="0" applyFont="1" applyFill="1" applyBorder="1" applyAlignment="1">
      <alignment vertical="center" wrapText="1"/>
    </xf>
    <xf numFmtId="0" fontId="3" fillId="9" borderId="17" xfId="0" applyFont="1" applyFill="1" applyBorder="1" applyAlignment="1">
      <alignment vertical="center" wrapText="1"/>
    </xf>
    <xf numFmtId="0" fontId="3" fillId="9" borderId="18" xfId="0" applyFont="1" applyFill="1" applyBorder="1" applyAlignment="1">
      <alignment vertical="center" wrapText="1"/>
    </xf>
    <xf numFmtId="0" fontId="3" fillId="9" borderId="19" xfId="0" applyFont="1" applyFill="1" applyBorder="1" applyAlignment="1">
      <alignment vertical="center" wrapText="1"/>
    </xf>
    <xf numFmtId="0" fontId="3" fillId="9" borderId="11" xfId="0" applyFont="1" applyFill="1" applyBorder="1" applyAlignment="1">
      <alignment vertical="center"/>
    </xf>
    <xf numFmtId="0" fontId="3" fillId="9" borderId="13" xfId="0" applyFont="1" applyFill="1" applyBorder="1" applyAlignment="1">
      <alignment vertical="center"/>
    </xf>
    <xf numFmtId="0" fontId="3" fillId="9" borderId="16" xfId="0" applyFont="1" applyFill="1" applyBorder="1" applyAlignment="1">
      <alignment vertical="center"/>
    </xf>
    <xf numFmtId="0" fontId="3" fillId="9" borderId="12" xfId="0" applyFont="1" applyFill="1" applyBorder="1" applyAlignment="1">
      <alignment vertical="center"/>
    </xf>
    <xf numFmtId="0" fontId="3" fillId="9" borderId="14" xfId="0" applyFont="1" applyFill="1" applyBorder="1" applyAlignment="1">
      <alignment vertical="center"/>
    </xf>
    <xf numFmtId="0" fontId="3" fillId="9" borderId="15" xfId="0" applyFont="1" applyFill="1" applyBorder="1" applyAlignment="1">
      <alignment vertical="center"/>
    </xf>
    <xf numFmtId="0" fontId="3" fillId="9" borderId="10" xfId="0" applyFont="1" applyFill="1" applyBorder="1" applyAlignment="1">
      <alignment vertical="center"/>
    </xf>
    <xf numFmtId="0" fontId="14" fillId="10" borderId="0" xfId="0" applyFont="1" applyFill="1" applyAlignment="1">
      <alignment horizontal="center" vertical="center" wrapText="1"/>
    </xf>
    <xf numFmtId="0" fontId="11" fillId="10" borderId="51" xfId="0" applyFont="1" applyFill="1" applyBorder="1" applyAlignment="1">
      <alignment horizontal="center" vertical="center" textRotation="90" wrapText="1"/>
    </xf>
    <xf numFmtId="0" fontId="11" fillId="10" borderId="52" xfId="0" applyFont="1" applyFill="1" applyBorder="1" applyAlignment="1">
      <alignment horizontal="center" vertical="center" textRotation="90" wrapText="1"/>
    </xf>
    <xf numFmtId="0" fontId="11" fillId="10" borderId="55" xfId="0" applyFont="1" applyFill="1" applyBorder="1" applyAlignment="1">
      <alignment horizontal="center" vertical="center" textRotation="90" wrapText="1"/>
    </xf>
    <xf numFmtId="0" fontId="3" fillId="9" borderId="10" xfId="0" applyFont="1" applyFill="1" applyBorder="1" applyAlignment="1">
      <alignment horizontal="left" vertical="center" wrapText="1"/>
    </xf>
    <xf numFmtId="0" fontId="3" fillId="9" borderId="12" xfId="0" applyFont="1" applyFill="1" applyBorder="1" applyAlignment="1">
      <alignment horizontal="center" vertical="center" wrapText="1"/>
    </xf>
    <xf numFmtId="0" fontId="3" fillId="9" borderId="14" xfId="0" applyFont="1" applyFill="1" applyBorder="1" applyAlignment="1">
      <alignment horizontal="center" vertical="center" wrapText="1"/>
    </xf>
    <xf numFmtId="0" fontId="3" fillId="9" borderId="15" xfId="0" applyFont="1" applyFill="1" applyBorder="1" applyAlignment="1">
      <alignment horizontal="center" vertical="center" wrapText="1"/>
    </xf>
    <xf numFmtId="0" fontId="3" fillId="9" borderId="12" xfId="0" applyFont="1" applyFill="1" applyBorder="1" applyAlignment="1">
      <alignment horizontal="center" vertical="center"/>
    </xf>
    <xf numFmtId="0" fontId="3" fillId="9" borderId="14" xfId="0" applyFont="1" applyFill="1" applyBorder="1" applyAlignment="1">
      <alignment horizontal="center" vertical="center"/>
    </xf>
    <xf numFmtId="0" fontId="3" fillId="9" borderId="15" xfId="0" applyFont="1" applyFill="1" applyBorder="1" applyAlignment="1">
      <alignment horizontal="center" vertical="center"/>
    </xf>
    <xf numFmtId="0" fontId="3" fillId="9" borderId="12" xfId="0" applyFont="1" applyFill="1" applyBorder="1" applyAlignment="1">
      <alignment horizontal="left" vertical="center" wrapText="1"/>
    </xf>
    <xf numFmtId="0" fontId="3" fillId="9" borderId="14" xfId="0" applyFont="1" applyFill="1" applyBorder="1" applyAlignment="1">
      <alignment horizontal="left" vertical="center" wrapText="1"/>
    </xf>
    <xf numFmtId="0" fontId="3" fillId="9" borderId="15" xfId="0" applyFont="1" applyFill="1" applyBorder="1" applyAlignment="1">
      <alignment horizontal="left" vertical="center" wrapText="1"/>
    </xf>
    <xf numFmtId="0" fontId="0" fillId="0" borderId="31" xfId="0" applyBorder="1" applyAlignment="1">
      <alignment horizontal="center" vertical="center" wrapText="1"/>
    </xf>
    <xf numFmtId="0" fontId="0" fillId="0" borderId="0" xfId="0" applyAlignment="1">
      <alignment horizontal="center" vertical="center" wrapText="1"/>
    </xf>
    <xf numFmtId="0" fontId="23" fillId="0" borderId="73" xfId="0" applyFont="1" applyBorder="1" applyAlignment="1">
      <alignment horizontal="center" vertical="center"/>
    </xf>
    <xf numFmtId="0" fontId="23" fillId="0" borderId="13" xfId="0" applyFont="1" applyBorder="1" applyAlignment="1">
      <alignment horizontal="center" vertical="center"/>
    </xf>
    <xf numFmtId="0" fontId="23" fillId="0" borderId="16" xfId="0" applyFont="1" applyBorder="1" applyAlignment="1">
      <alignment horizontal="center" vertical="center"/>
    </xf>
    <xf numFmtId="0" fontId="23" fillId="0" borderId="11" xfId="0" applyFont="1" applyBorder="1" applyAlignment="1">
      <alignment horizontal="center" vertical="center"/>
    </xf>
    <xf numFmtId="0" fontId="22" fillId="20" borderId="11" xfId="0" applyFont="1" applyFill="1" applyBorder="1" applyAlignment="1">
      <alignment horizontal="center" vertical="center" wrapText="1"/>
    </xf>
    <xf numFmtId="0" fontId="22" fillId="20" borderId="16" xfId="0" applyFont="1" applyFill="1" applyBorder="1" applyAlignment="1">
      <alignment horizontal="center" vertical="center" wrapText="1"/>
    </xf>
    <xf numFmtId="0" fontId="22" fillId="20" borderId="59" xfId="0" applyFont="1" applyFill="1" applyBorder="1" applyAlignment="1">
      <alignment horizontal="center" vertical="center"/>
    </xf>
    <xf numFmtId="0" fontId="22" fillId="20" borderId="60" xfId="0" applyFont="1" applyFill="1" applyBorder="1" applyAlignment="1">
      <alignment horizontal="center" vertical="center"/>
    </xf>
    <xf numFmtId="0" fontId="22" fillId="20" borderId="61" xfId="0" applyFont="1" applyFill="1" applyBorder="1" applyAlignment="1">
      <alignment horizontal="center" vertical="center"/>
    </xf>
    <xf numFmtId="0" fontId="22" fillId="20" borderId="13" xfId="0" applyFont="1" applyFill="1" applyBorder="1" applyAlignment="1">
      <alignment horizontal="center" vertical="center" wrapText="1"/>
    </xf>
    <xf numFmtId="0" fontId="22" fillId="20" borderId="66" xfId="0" applyFont="1" applyFill="1" applyBorder="1" applyAlignment="1">
      <alignment horizontal="center" vertical="center" wrapText="1"/>
    </xf>
    <xf numFmtId="0" fontId="22" fillId="20" borderId="67" xfId="0" applyFont="1" applyFill="1" applyBorder="1" applyAlignment="1">
      <alignment horizontal="center" vertical="center" wrapText="1"/>
    </xf>
    <xf numFmtId="0" fontId="22" fillId="20" borderId="69" xfId="0" applyFont="1" applyFill="1" applyBorder="1" applyAlignment="1">
      <alignment horizontal="center" vertical="center" wrapText="1"/>
    </xf>
    <xf numFmtId="0" fontId="22" fillId="23" borderId="59" xfId="0" applyFont="1" applyFill="1" applyBorder="1" applyAlignment="1">
      <alignment horizontal="center" wrapText="1" readingOrder="1"/>
    </xf>
    <xf numFmtId="0" fontId="22" fillId="23" borderId="61" xfId="0" applyFont="1" applyFill="1" applyBorder="1" applyAlignment="1">
      <alignment horizontal="center" wrapText="1" readingOrder="1"/>
    </xf>
    <xf numFmtId="0" fontId="22" fillId="23" borderId="11" xfId="0" applyFont="1" applyFill="1" applyBorder="1" applyAlignment="1">
      <alignment horizontal="center" vertical="center" wrapText="1"/>
    </xf>
    <xf numFmtId="0" fontId="22" fillId="23" borderId="13" xfId="0" applyFont="1" applyFill="1" applyBorder="1" applyAlignment="1">
      <alignment horizontal="center" vertical="center" wrapText="1"/>
    </xf>
    <xf numFmtId="0" fontId="22" fillId="23" borderId="16" xfId="0" applyFont="1" applyFill="1" applyBorder="1" applyAlignment="1">
      <alignment horizontal="center" vertical="center" wrapText="1"/>
    </xf>
    <xf numFmtId="0" fontId="22" fillId="20" borderId="11" xfId="0" applyFont="1" applyFill="1" applyBorder="1" applyAlignment="1">
      <alignment horizontal="center" vertical="center"/>
    </xf>
    <xf numFmtId="0" fontId="22" fillId="20" borderId="13" xfId="0" applyFont="1" applyFill="1" applyBorder="1" applyAlignment="1">
      <alignment horizontal="center" vertical="center"/>
    </xf>
    <xf numFmtId="0" fontId="22" fillId="20" borderId="16" xfId="0" applyFont="1" applyFill="1" applyBorder="1" applyAlignment="1">
      <alignment horizontal="center" vertical="center"/>
    </xf>
    <xf numFmtId="0" fontId="22" fillId="20" borderId="68" xfId="0" applyFont="1" applyFill="1" applyBorder="1" applyAlignment="1">
      <alignment horizontal="center" vertical="center" wrapText="1"/>
    </xf>
    <xf numFmtId="0" fontId="22" fillId="20" borderId="70" xfId="0" applyFont="1" applyFill="1" applyBorder="1" applyAlignment="1">
      <alignment horizontal="center" vertical="center" wrapText="1"/>
    </xf>
    <xf numFmtId="0" fontId="23" fillId="21" borderId="11" xfId="0" applyFont="1" applyFill="1" applyBorder="1" applyAlignment="1">
      <alignment horizontal="center" vertical="center" wrapText="1"/>
    </xf>
    <xf numFmtId="0" fontId="23" fillId="21" borderId="13" xfId="0" applyFont="1" applyFill="1" applyBorder="1" applyAlignment="1">
      <alignment horizontal="center" vertical="center" wrapText="1"/>
    </xf>
    <xf numFmtId="0" fontId="23" fillId="21" borderId="16" xfId="0" applyFont="1" applyFill="1" applyBorder="1" applyAlignment="1">
      <alignment horizontal="center" vertical="center" wrapText="1"/>
    </xf>
    <xf numFmtId="0" fontId="27" fillId="20" borderId="59" xfId="0" applyFont="1" applyFill="1" applyBorder="1" applyAlignment="1">
      <alignment horizontal="center" vertical="center" wrapText="1"/>
    </xf>
    <xf numFmtId="0" fontId="27" fillId="20" borderId="60" xfId="0" applyFont="1" applyFill="1" applyBorder="1" applyAlignment="1">
      <alignment horizontal="center" vertical="center" wrapText="1"/>
    </xf>
    <xf numFmtId="0" fontId="27" fillId="20" borderId="61" xfId="0" applyFont="1" applyFill="1" applyBorder="1" applyAlignment="1">
      <alignment horizontal="center" vertical="center" wrapText="1"/>
    </xf>
    <xf numFmtId="0" fontId="23" fillId="10" borderId="11" xfId="0" applyFont="1" applyFill="1" applyBorder="1" applyAlignment="1">
      <alignment horizontal="center" vertical="center"/>
    </xf>
    <xf numFmtId="0" fontId="23" fillId="10" borderId="13" xfId="0" applyFont="1" applyFill="1" applyBorder="1" applyAlignment="1">
      <alignment horizontal="center" vertical="center"/>
    </xf>
    <xf numFmtId="0" fontId="23" fillId="10" borderId="16" xfId="0" applyFont="1" applyFill="1" applyBorder="1" applyAlignment="1">
      <alignment horizontal="center" vertical="center"/>
    </xf>
    <xf numFmtId="0" fontId="27" fillId="20" borderId="11" xfId="0" applyFont="1" applyFill="1" applyBorder="1" applyAlignment="1">
      <alignment horizontal="center" vertical="center"/>
    </xf>
    <xf numFmtId="0" fontId="27" fillId="20" borderId="13" xfId="0" applyFont="1" applyFill="1" applyBorder="1" applyAlignment="1">
      <alignment horizontal="center" vertical="center"/>
    </xf>
    <xf numFmtId="0" fontId="27" fillId="20" borderId="16" xfId="0" applyFont="1" applyFill="1" applyBorder="1" applyAlignment="1">
      <alignment horizontal="center" vertical="center"/>
    </xf>
    <xf numFmtId="0" fontId="27" fillId="20" borderId="11" xfId="0" applyFont="1" applyFill="1" applyBorder="1" applyAlignment="1">
      <alignment horizontal="center" vertical="center" wrapText="1"/>
    </xf>
    <xf numFmtId="0" fontId="27" fillId="20" borderId="13" xfId="0" applyFont="1" applyFill="1" applyBorder="1" applyAlignment="1">
      <alignment horizontal="center" vertical="center" wrapText="1"/>
    </xf>
    <xf numFmtId="0" fontId="27" fillId="20" borderId="16" xfId="0" applyFont="1" applyFill="1" applyBorder="1" applyAlignment="1">
      <alignment horizontal="center" vertical="center" wrapText="1"/>
    </xf>
    <xf numFmtId="0" fontId="23" fillId="10" borderId="57" xfId="0" applyFont="1" applyFill="1" applyBorder="1" applyAlignment="1">
      <alignment horizontal="center" vertical="center"/>
    </xf>
    <xf numFmtId="172" fontId="0" fillId="0" borderId="0" xfId="0" applyNumberFormat="1" applyAlignment="1">
      <alignment horizontal="center"/>
    </xf>
    <xf numFmtId="0" fontId="0" fillId="0" borderId="0" xfId="0" applyAlignment="1">
      <alignment horizontal="center" vertical="center"/>
    </xf>
    <xf numFmtId="44" fontId="0" fillId="0" borderId="0" xfId="0" applyNumberFormat="1" applyAlignment="1">
      <alignment horizontal="center"/>
    </xf>
    <xf numFmtId="0" fontId="0" fillId="0" borderId="0" xfId="0" applyAlignment="1">
      <alignment horizontal="center"/>
    </xf>
    <xf numFmtId="2" fontId="0" fillId="0" borderId="0" xfId="0" applyNumberFormat="1" applyAlignment="1">
      <alignment horizontal="center" vertical="center"/>
    </xf>
    <xf numFmtId="168" fontId="0" fillId="0" borderId="0" xfId="0" applyNumberFormat="1" applyAlignment="1">
      <alignment horizontal="center"/>
    </xf>
  </cellXfs>
  <cellStyles count="4">
    <cellStyle name="Moeda" xfId="3" builtinId="4"/>
    <cellStyle name="Normal" xfId="0" builtinId="0"/>
    <cellStyle name="Percentagem" xfId="1" builtinId="5"/>
    <cellStyle name="Vírgula" xfId="2" builtinId="3"/>
  </cellStyles>
  <dxfs count="33">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numFmt numFmtId="0" formatCode="General"/>
      <alignment horizontal="left" vertical="center" textRotation="0" wrapText="0" indent="0" justifyLastLine="0" shrinkToFit="0" readingOrder="0"/>
    </dxf>
    <dxf>
      <numFmt numFmtId="2" formatCode="0.00"/>
    </dxf>
    <dxf>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8" formatCode="0.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164" formatCode="0.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0</xdr:colOff>
      <xdr:row>11</xdr:row>
      <xdr:rowOff>0</xdr:rowOff>
    </xdr:from>
    <xdr:to>
      <xdr:col>32</xdr:col>
      <xdr:colOff>304800</xdr:colOff>
      <xdr:row>12</xdr:row>
      <xdr:rowOff>114300</xdr:rowOff>
    </xdr:to>
    <xdr:sp macro="" textlink="">
      <xdr:nvSpPr>
        <xdr:cNvPr id="17409" name="x_x_image_0" descr="data:image/png;base64,iVBORw0KGgoAAAANSUhEUgAABPcAAAC1CAYAAAAzxRq2AAAAAXNSR0IArs4c6QAAIABJREFUeF7tnT163DizhUt7mZ7A1gqkFYy+xJFSZ3LoTpwpdDaJHNqZU0VORl6BtQJdBZb3ovvwByRQqEIV2c1uNnmcWU2CwIsCcXjwd/b09PRK+AcCIAACIAACIAACIAACIAACIAACIAACIAACIHByBM4qc+/t27cnl3FkuCHwf//3f4T6QzSAAAiAAAiAAAgsicDa9M3ayrukWEVZlkMA7XA5dYmSgMDaCFTvL5h7J17r6IROvAKRfRAAARAAARAAgYzA2vTN2sqLkAeBORJAO5xjrSBPIAACHgIw9zyUZn4NOqGZVxCyBwIgAAIgAAIgMJjA2vTN2so7OCBwAwgcgADa4QEg4xEgAAKTEIC5NwnWwyaKTuiwvPE0EAABEAABEACB6QmsTd+srbzTRxCeAALDCaAdDmeGO0AABOZBAObePOphp1ygE9oJH24GARAAARAAARCYIYG16Zs1lPfnhzO6ogd6/frPDCMOWQIB7GWOGAABEDhdAjD3TrfuupwvQQxC7C0gEFEEEAABEAABENgjgTH6huuJU9IXaXn/0JfLDT3fvtJyfLCf9OHsiuhhSWXaY8BPktQS42gSUIv6rpqWEFIHARCYKwGYe1rN/PxAZ1fful8v7l7o18e/uv//+XJJm+0j8b9XFxz6N1H8/vlCl5stPUblu5mxmPKI7/qab0RjylHXyfPtUUeKpTzUZXq6o5dfH6mPrl1fF42Q28aVTzf08PqVDjFOPk2ZdmWC+0EABEAABE6NgGbulfTAYHOvqJea/vT+WtCA99dp370H3TWZucfzdsF0h5B3TfeGGBqjxajS1p/fdNyCXhbTZHmKn1e8z9DhzbMUw4vlr85v9C3Q50HSWeP06fRtcjnm3qH0ZfbeKcSiVH/ad6AatyzO+jQPp92nj0M8AQRA4BAEYO6JlKuRxc/05uUX1X5e/VK/p+v6/82o49PdA13fXzHBd+jfmsxnnVDbSaTCq8rbD3p3IINnaPDa5l5TJ3RD9I2Gm3RzNfeGcvJdn3+M2Hx9KeMqEAABEAABEDgUAdncK+uBQeaeqZec5p6Zjo/YJOZenbcnuguatjW/3tP3ZtBayntrZlAY2K7+/57oezsQ2ZgU54MHDau6+fymNUqLaQY93V4bl4FKeSnp8LgOHOZey+C8Gxj/SR8uf9OnmoEQFy1HadDfV/tTXbUcc28qQjzdtB0WYjEblS/E38A2BN1+qNrGc0BgWQRg7slDLnS5eabbzghjZl99jyz4muQO+5vUCdlLHvioYzw6FITAA9HVFTXzFy8SYRjK2M8Oi+9ved2d03Zb3d3+Vhj5MjuxMJr6neh9Ujc972TpSjf6+j/6j81i64WXxaBSsrf0vAkMqnJ8ot9del4m+QhvyENc7pwBj6NSfnPRmsw04KPRbYzK9Vc9h5edldVdl0osLOs9itKAAAiAAAhMQEA094p6oPKq0j3ddH3hWSLqMfc86fSrOhpMXD80fy2ae9ykk2b73PC97Ky8FfRqnX61glaY9Z8Mevc6TNYUITAkLR0FTZzmC392waDK8mLpcEU3Vn+OtZKYbsivwq3ELGkfls4SypvouCE626Hp3bMk47gtaVJL+1nll+8nvl+jmm+vXpZfWkk7zOrUY5aWvgPbZ5biqxh7E7xokSQIgMBiCMDcU6qyWfLRmzl8ScahDbzS88qdkFxALnbrUdhuiUnoFPtO3BLL6f2NmPyWLAWNRzxbkRstabHMvX60l4QlMpYIap+XLMtty3jeC+F0JDowCKZlLxTCjEiRmZqelAf2EcIFBOvcy3VWMvfysg6t/5TNkLqUYmEx708UBARAAARAYEICkrlX1gMDzD2XEeMw9zzp1P15PGjsMBXipaPEZ9+lRpm6OsF6btFEKJhxrMwufZINMjIGUZqbRJMaZp3I3zJXHDP3ukFQyYjV0rfM1NQc3D72aUsaVB60rmYOKjq7XlkUlpAHrRYGuTVNX9B0hfgp17ml/fLvjExnZt8RvG2zGXUVk3Zm5QszAVO9br+w4vdOfq8VWx5zuTWSFfPc+iayS4ArQAAE1koA5l6h5sOeLsT3JqnvOezsvLHmXrq/QzyDLiwzDgBiEWeYZaIYjO93iBsmGIodGXue1tHqIkgw1kTBUmaQiedYUJrpOcy9VqyFWZdJOU3mubkX77mXLBMx05JEb0HkF+vSEQtrffui3CAAAiAAAkUC8t5XvX6RPtqtwcjugcwUEvVSNss9ym7Qhp50siWeA8y96zt62jLNxjWHZpxZxmPR/NP6b6Z/TU1haeb8d61euyW9HT5Ni1sGjMfcax7SfQsksy33Y+6lh6UM0OFML7YZVWZa2gPgSTTGMaHFrVnnlvazdKZ8f9K2tdg282a/dMvmXhMTeSzmOjyfGBKuKcWnxc7OP64AARBYLwGYe2Ldpy/WRvCRuCxVfnEf1vhzzdzLjKj0sI0GQxjV85h7pfvljolvJNst1w3iifhykiZXmchTloMMMvcKI71NOjmDorlnpucx9+JRyU16Sh5betCHrWNEWZwROLD+JeMxObGjX5adflhBpKy3e0HJQQAEQGA3Atzcs/XAHmbuJX3mDjP3Cn2vti+btCy36Wp5X58OuKkDpC5zjw/2hjqTB/WyQw08+sRYZsjT9M6W0g9Y2J+519kxybfAVOZeOEnYMuQEbaXOjLTS4kvGqxJHW+1E9dvFrVnnlvbTzL1Qfqe5Fx3O0vu9+YGC6TeO/U6aeuaeHrfCN4+dXVwBAiAAAh0BmHtCMPhExWENPPfMPWk0ryqjOcssBuEx90rLSxTREU8/d8/c65fD8qrie+cNMvfMmXYDzT0zPZ+51xze8ky3L2/oc7yEx1pak8DhsSmNspfqzxhR5XvhYOYeuhQQAAEQAIEJCOhmV/qw2Cxzz9zz6CVllYa0FUm217FqrOnGh7bn3qff8dYp4aC3eJBOO1XTMlkKvwv5F00Jhz4pHWompunY56xkkJRX11Sx4zBts3iOtZHyDWCZqb0DlQ7g1n8/0sw90YSWNGIUKxtrmbkVd1PP3LOXwJdeV1PuuVeOW4vbBC9ZJAkCILAoAjD3pOpURlv7E7N0YdAkd1jjTxzZ3j5SclquYyS6R2GN8lkjora51+9p2GzUXB51Tk95qwmzk9qS+8OIYrScWjNst3yPPLbvYGwYFmfuhaU7anryaFxe7pYtXdDjeXwqsMU8N2ezAzU6c9VKKxiqbC+YwEbaa6fen1KqSwiVRfUYKAwIgAAIHJBA/pE9UA94VgaM0EtcU4SVCbruyvvodElm87t+oEbbLweNUfXDP97R69dKQZX/SatPqr+F03LF1SmtjupOyw0ah+7opT0xl2tGawliXt62TGKaTDsIGnYr3hdyZemcXEc25lqYOdb83p0oXHtv8b6HQvoZs4K2Ffbz4zFV1rWStmr+pu25pw6AG5pO/jaw+Fraz9CZivEurQzRyqvHo9VieDt0xGKk/fXvwFK8t3eNPIXaLhGuAAEQWAsBmHtKTfd7bDQX9KPCzUu+OUG2/9f8/nLg35oz2MXT5IQp8+kyEGFGXGeGWeZe9dTS/YXp9C24i7s7Ot8+0zvREOq56nvx8WfE9XJDD9VBv/F0fWlZQbchcfu8ZG/FgTP36iRYbPC9GoU8SOUTPxLq9EvM42iURBfn5an/+LTkdFZA3D7KdWkJvLW8alFOEAABEACBoQRifePVA/6Ze21uinppwAyvUjq1gRIpx+xU2yYvxdNyW40RzAyuU+X9oZt0s21RuD7h+ePLgLPfW3ZdOQqaQpvZZ6WZ8IyWJRfvo4IObzRzopZqM6Ve91z/K+vk0kmx9d1s+x7b3Hu+1XVWqim5rlW0lcjM1vSqpivG7fDvgJ59yJNWfsey3Caw6XITZrAa9SPuny6/keS9PgvP6cy9wjfi3/+m74Dw6K4NcXN26NsS14MACIBAoyPOnp6eXt++fQseJ0pANPdOtCzI9hwISMsl5pAv5AEEQAAEQGBNBNamb7zl9R84cfxoKS3JPX7uJsxBcbny2nXWvMvvbYcTRg+SBgEQAIFRBGDujcI2r5vQCc2rPk4/N/MWXafPFyUAARAAARDwEFibvvGWV93S47paRZLPUPOwnuaa9eqJbFlvAni9XBoM8y6/tx1O02aQKgiAAAiMJwBzbzy72dyJTmg2VbGQjMxbdC0EMooBAiAAAiBgEFibvvGXN18SqZ3AiyCbI4G166x5l9/fDucYW8gTCIDAmgnA3FtA7aMTWkAlogggAAIgAAIgAAIJgbXpm7WVF+EOAnMkgHY4x1pBnkAABDwEOnPPczGuAQEQAAEQAAEQAAEQAAEQAAEQAAEQAAEQAAEQmBcBHKgxr/oYnBuMMA1GhhtAAARAAARAAARmTmBt+mZt5Z15+CF7KyWAdrjSikexQWABBLAsdyGViNOOF1CRKAIIgAAIgAAIgEBHYG0f2WsrL0IdBOZIAO1wjrWCPIEACHgIwNzzUJr5NeiEZl5ByB4IgAAIgAAIgMBgAmvTN2sr7+CAwA0gcAACaIcHgIxHgAAITEIA5t4kWA+bKDqhw/LG00AABEAABEAABKYnsDZ9s7byTh9BeAIIDCeAdjicGe4AARCYBwGYe/Ooh51ygU5oJ3y4GQRAAARAAARAYIYE1qZv1lDenx/O6Ioe6PXrPzOMOGQJBIjW0A5RzyAAAsskAHNvAfWKTuhYlfiHvlxu6Pn2laBRj1UHeC4IgAAIgMBSCYzRN9w8OiUzKS3vEjXGT/pwdkX0AN10uDa7xDialt6Y9860OULqIAACIOAjAHNP4/TzA51dfet+vbh7oV8f/+r+/+fLJW22j8T/Xl2w799CeuHhN0wUaZ1QLWi/EfHrPaFRP/P59qgjq1Ie6jI93dHLr4/U14anRKVrGuGzfUyvkeo2veI4gsmsGxa7Y+o/Lqf5vF3xJ/dLdXFDD69f6RBj/NPE114BITEQAAEQWA2BMfpmsLn35wtdbrYUS4C+32z6pPtrQQPeX6dapJiOr8omM/d43i6YjhLyruleTYu6Sljpk89vOm5FfcvyFGsZSxeXdHiTT0W/sfyRqqdk3bir3nIxHHzRcbTq4Gw6bjiURsveO4VYlLKtxZ8atyzO+jQPp38d+HEJCIDACRCAuSdWUjWy+JnevPyi2s+rX+r3dF3/vxl1fLp7oOv7Kyb4JvitevZ7ou+tmdV0DOeJ2SGL36YMdEP0jYabdIc1dOSWcrg8jBU+Y+/b7c1Q5NIKkPPOAP5JHy5/06cdzNDD1UMvuOMPqVOadbFbzeJuEAABEACBmMAYfTPI3Gs/qlNTptJPP+hdPajkNPfMdHz1Oom5V+ftie6Cpm0Hod/T92bQWsp7qyUoDGw7tKinhFXdfH7TGqXFNIOebq+Ny0AlXVzS4XEOHeZeUU8JcdFytAeGPaT2ec1xtOo+S3DotNJ2WIjFbJZBIf4GtiFo30PXOp4HAssgAHNPHnKhy80z3XazhZjZV98jC74muSl+azOaGI3N30TxG0YfvxO9T8rS5y9ZTtqNVv6P/mOz2Hqhwkcq4xGl6rfKhbyl580VNXMeq98/0e8uvYtEXAZO/Yy5kF4+IhryEHd2ecfHuZfy6xB5NarY2OX/D4LpgegqlJmVUR3tE8RWcUS7SreuzGSGYSYihfgIJbV4pSOK1vP2HQshl4pgjkb69bgJsc3j0Fsn1TdOvBdQ2+7vzmm7rSIaI6jL6PZQChAAgVMhMFzf8Pd4/v++7J4loh5zz5NOv6qjeT7XQ5KeYzqBm3TSbJ8bvpedlbeCXq3Tr1bQCjPnM63h0VuSlo4iMU7zhT+7YFCJuqekwxUdXP051mEFPaXq/BKzpNFJmjmOCUsjKvpE1Jy7aNVS3Jbq3NJPVvnl+4nv12ho7Pz7wvfmS947WZ16zFIr/oTvi+SzhH17+LKNq0AABECg9oXOnp6eXt++fQscEYFmSWtvTvElGdMYeI7OQBAOkvjtR0dJWFJiiYa2M0+W5bad+HkvHNNZhKGTzw26MCJeX98tY7HSk/LARDpnwYQYN7PS5zvNvbDMus53Y3z2sRDK3AuyzByKZs1J5ZcN1o/0V12W2GDu81ueSZfnqbuzxKsaCR/wvDLbobGQ10XGOIo737P7OknjNJ3JyGMiN/cq0xamHjoHEAABEDgGgeH6ZoC55zJiHOaeJ51Cnx5zVWfuEZ99lxplqi6wnls0sApmHCuzS2/xJa88oKI0N4le7M24XIu3hlxmQlp6WjFokjwW9JQ6iG+ZqaHQedqSplY1IjXPSfUJm2FWXVNr0DBoP0KrFuKnXOdS/nKtt30saLWsfNIAbLWSKiyZ7/XdCzMBdf0vv9Xidpjfa8WWEa/hkYX3BmbtHaO3wTNBYBkEYO4V6jHsWUd8b5L6ntLLfYrf9GfKe0OEZcStSZbsDTPC3BM7+Fj45WlmYjPuyMz0HOZeK27CxsxJBywKVk2o8tHHinVs6LSC6eKCHineY8fmmIRXUmbj3mw5iNfca67rYjeZHZCKzqR+hjzPZDswFlJI2f6HyezEEc+mOk6iZfaJvkxNTcncw8bfy+jsUAoQAIHTIzBc34w399LZ6/pKgo5i0IbsI11Mp9DHmube9R09bXtN10hQNiCnGWeW8Vg0/zSjimlcs1+2NHP+u2TGJEt6O2ia3rYMGI+5V9JTWvrDzL30QLaypk5mFTL92wo/ZablDlpVi1uzzi0OEv+4/PL9iUbTYtvMm/0eLJt7zTumW14uJueLP9GslurWzjKuAAEQAIGaAMw9MRAEE2RL4pJS+cU8jbmnbSTLxW8mipTlE/qIoGCsiZ1o3DkPNHTM9DzmXiziN+nJtWyqfl/N0lIYReTFsSHup2MLJr55bm8a2vc24r3Z5Ds2uIbsgdc8v4/d/l7Gq/tYcDzPZDswFgRzr2tX4mzDdOPz5vZQr5pg7E/n0+tEHhWGuYfeEgRAAASOQ2C4vhlv7nUlTPqdHWbuFfovbV82aeZes7SQa5d00Eqd6eMy95hx2IMQB8YyLWpqAmMJYhiQjA5L886W0g9Y8JkrqbnGluWykE/11FTmXtAqlkYUzC91ZqSVFl96WxU8GuCWtKhZ52PNvVB+p7mXbNnSVpiZN/tdNvXMvdLBIENnGdqlwRUgAAJrIgBzT6htn6iYwsDT0yx1BLoYTAvH984bZO6ZM+0GGjpmej5zrxu9fnlDn+NlpdZSFMFQykQeF7j13mvx/jOGYBKFfVhqa4utPouFGXfm24o9J3DhvJJ0jOeZbAfGQsnc4zNkRzw7mbnH9/Fh6WHmnhlQuAAEQAAEDkZguL4ZYO5pM2SGmnuudGJkuvGhLcv99Dve1iSYZfFAl7Z9hGWyFH4XjEFRi5r9sqznAhExTcc+ZyVdXF5dUz3ZYdpmUZ4PaGcD/JaZ2qVpzVyzNKJi7ol7JO6iVZW43ehbuTR3WHFnld9p7knldcSj9QKbcs+9ctxa3Kyc43cQAIG1E4C5J0WAMtran0CqC4MmuX0af01aW7qjF+XE07wTSk9Fq3PETtlNTIwwyhUtP9YMzi3fc4/toRcbZMVluS0jPT1pObG0MXbLmi7o8Tw+FdgatY0rvjxzr2fVzHbr8zxMMPX7ODabU1t10OcwfU5pVK/6rTsBr9ZXfJ+eNp6qmQDZxtvhidbzLLb7NPf4fjq+Z2f7uIQ4lfYJqvfWFOrEFKdr7z5QfhAAARCYlsDO+ob3tSy7YSZ3clruYHOvn/mkp+PTHPppuW3fHTRYlccf7+j1a6Umyv/4DP6gCYNWkH4PKwe603KDZhO1qK9fzgdQS/qWmRxCnZR0sW3u5bqYG1JlPSWUudXSPbPSYS5Bi7E956ItdMoaUTKBynvuqQP6hi6StahV55ZJZZXfYe61Gi3fc4/vj221kPx36bTcbhWHFIvRt5H+HWh/z/FvteE5xx0gAAJrJwBzT4mAfs+y5oJ+1lvYJDa9sfn9pd3gdo+//f0vnV01Z88m/yJjJu6E9E1YeUcZl+OGHqoDX+Pp7eKSUFb2ZC/CMYZOKb10ZFo6LTfwEMV5/WNkZIWLC/sn9qdqRXVe849m6yVLnK2R1XjvuyqG7uh8+0zvklOYo5OF4zpolwF3dR4bccpy3VhQ9GXJlyHrHzNRnJnPK7EdEwtdbQoHwPDY9Tw7PsE4ndEQt21eJ5i5t/YuEeUHARCYE4Ex+obrIHNzemEZH1/pwGdoiYNspXRKfXoEXDf3qotS84brVHl/6FYZ1AO89freIHDSAWOeP74MOPu9TafTCoV+WZtJZaWZ8Iy0TPE+Kujwv7LQ5tt0pMuleZny02xT3ZjrLT32gk7StUqo70aZcZ2umGcisx20ajFuS1rMZ+4932rl95h7fAarUT+i/pffdvJen2GmrPCcztwrfCOa33PcnJ3Tmxh5AQEQOBUCMPdOpaYK+ZROk1tAsVCEqQi4l41MlYEp0y3PwpzyyUgbBEAABEBgvwTWpm+85fUfOLHf+hiT2pB9gsekP9t7istD165V5l1+bzucbewhYyAAAqslAHNvAVWPTmgBlXjAIpizGA6Yl/0/at6Ccf/lRYogAAIgsFwCa9M33vLm/bi1TPJYMbLePjlb1ptUwXq5NBjmXX5vOzxWq8JzQQAEQEAjAHNvAbGBTmgBlXiwIlhLJQ6WkYkeNG/BOFGhkSwIgAAILJLA2vSNv7z5kkjtBN5FBsbJF2rtWmXe5fe3w5MPRBQABEBgYQRg7i2gQtEJLaASUQQQAAEQAAEQAIGEwNr0zdrKi3AHgTkSQDucY60gTyAAAh4CnbnnuRjXgAAIgAAIgAAIgAAIgAAIgAAIgAAIgAAIgAAIzIvA2dPT0+vbt2/nlSvkxk0AI0xuVLgQBEAABEAABEDgRAisTd+srbwnEobI5soIoB2urMJRXBBYEAEsy11AZaITWkAlogggAAIgAAIgAAIJgbXpm7WVF+EOAnMkgHY4x1pBnkAABDwEYO55KM38GnRCM68gZA8EQAAEQAAEQGAwgbXpm7WVd3BA4AYQOAABtMMDQMYjQAAEJiEAc28SrIdNFJ3QYXnjaSAAAiAAAiAAAtMTWJu+WVt5p48gPAEEhhNAOxzODHeAAAjMgwDMvXnUw065QCe0Ez7cDAIgAAIgAAIgMEMCa9M3ayjvzw9ndEUP9Pr1nxlGHLIEAkRraIeoZxAAgWUSgLm3gHpFJ7SASkQRQAAEQAAEQAAEEgJj9A03j07JTErL+4e+XG7o+faVluOD/aQPZ1dED0sq09wb7RLjaFrmY9470+YIqYMACICAjwDMPY3Tzw90dvWt+/Xi7oV+ffyr+/+fL5e02T4S/3t1wb5/C+k1D7+hh9evFI93ap1QLWi/Ed2MEFH1M59vjzqyKuWhLtPTHb38+kh9bfiCXb6qEZp9TcdX5ax3edK+792Vxa736+VphOT28TgspyvXvmsQ6YEACIAACJQIjNE3g829P1/ocrOluMvqdVPTn91fCxrw/jrVIsV0fPU8mbnH83bBdJSQd033hpKM0ZZUaevPbzpuqb5lepXlKX5e8T5Dhzf5Vwwvlr86v9G3AI+LVOeM09u+yNjlquWYe4fSd9l7pxCLUs1o34Fq3LI469Oc93fILlGJe0EABKYhAHNP5FoZPp/pzcsvqv28+qV+T9f1/xsz6Onuga7vr5jgm+i3y9/0qTWzpBFoWfw2ZaAbom803KSbq7k3TTNoU03qedInLTzx/GPolGZOLLxyUDwQAAEQOBkCY/TNIHOv/ahOjapKP/2gd/VAqtPcM9PxIZ/E3Kvz9kR3QdO25td7+t4MWkt5b80MCgPb1f/fE31vtWhjUpxng81WKau6+fymNUqLaQY93V4bl4FKeSnp8Dh3DnOvZXDeDZD/pA+dHhfiouUoDfpbXKb9fTnm3rSc+tTTdliIxWyWQSH+BrYh6OZD1TaeAwLLIgBzTx5yocvNM912M+SY2VffIwu+JrkpfmtTrgQVGy0WxW8YffxO9D4pS5+/ZKlHN1r5P/qPzbrqhQqfkRWPKFW/Vcrvlp43YSZc9fsn+t2ld5GIy8CpH/kM6eUzv0Ie4s4u7/g491J+hYoXzb227u/Oabut5ve1eVRH8YKIeiC6ChzScqcjd+G34fx4+eV0+5mkTYn7vGj88vqIY0YvV09UEb3RaL1e9+FZPJZY7BRGUdNyKfW3rPc4SgMCIAACiyQwXN9UXlW6p5v+kexZIuox9zzp6H1xXHFFc4+bdNJsnxu+l52Vt4JerdOvVtCmq0UamRsPevcaQdYPoYSSlo5KH6f5wp9dMKhE7VbS4YoOrv4cz9wrDvgq6ZeYJS1U0nyxzhHKm8wqHKJNbV3a1Gc/e1WfJZnnUa5zS3tZ5ZfvJ75fo6HFy/GovzKTdpjVqccsteJPakNKW9jPMqVF9g8oFAiAQE4A5p4SFc2S1t6c4ksypjHwrM6AjR61eZfEbz86SsKSEks0tCI0WZbbGmXnvXBMR26DkZYbdEEk1Nd3xqSVnpQHJtp5h8uEmGh+8WU0cf2r5l5l0sVGZjx62+aTl+tRMdHqZ8TGccjAUH6MhZau+jz+AWTVR8hfyRxMy9K3mTztct3kz0pjrcSflyssu8bSBnSAIAACIHBqBIbrmwHmnsuIcZh7nnQKfbHL3CM++y41ytTVFtZziwZWwYxjZXbpLb7klQdjlOYmG8geakJaeloxaJI85lqkz7KWvmWmcs3XaypJU8uD8NW2NJK24d8IQSuFQXtNvxU0lVtDci1saS+Hzqu3zEm1Wz54W62kCkvm+3K8MBMw/f6w34Lxeye/14qt3jzOvx2jZxfeG5i1Z9cRrgABEJAJwNwrREbYs4743iT1PaWX+55/i0dns1FZ4VQnJta0jkkXDYKxJnbwsfDLhVImNuOOzEzPYe614iZszJyUszQLL1qaklR/wdwrbv5YjJ79AAAgAElEQVSclMUwTrNlHqnQi+ukyK8eYI5mJ2jpqs/zmIPl+uV753DRG+9FkyxTMetGEt2FjwwWS5L4w+bd6AJBAARA4PQIyHtfhW1SuKHQlM89c499XMv7GwcTQmAXtKEnnUJfbJp713f0tO3L3EhQNlCoGWeW8Vg0/zSjimlcs0+3NHP+u2TGJEt6O2ia3rYMGI+5F8VTvTFzPmstN2+GmXvpYSlDNJfwHLWu7QH9XAu3g9BFbclistbkYUsji4Ol8+T7k7atldcVj+V3Ydnca94x3fJyMSlf/Mnmn8Xu9N7jyDEIgMDhCMDcE1mnL9ZG8JG4pFR+Me/Z3IvyKO1zwsVvJoqU5RODzD2xE40754Hmnpmex9yLRfwmPVWOTdXvEfKlwQncaG/F8He5k+Wb4vYHnThEVJQ3vuR5tLnXif1mWUVupuV/t0VSuX4tc69rG+IMy3Tz8oZ2vESZnxAotclk+/Nu6RDMvcN1IHgSCIAACExJYLi+GW/udeVI+qwdZu4V+j5tXzZpWW4zUMa1Szrgpc70cZl73KSJ9U+0/3T75+xQA4/eKs4QbOssOizNO1tKP2DBZ65kJxEXZhem3wL7mbmXm3vhJGFLSyrmXrL9SahHKy2+ZLy6L5oxJ2lWs84tg0oz90L5neaeVF4zb/Yba+qZe6WDQYbOMrRLgytAAATWRADmnlDbPlExhYFniRF5jwZdDKaFKxlJ4glm8bJcc6bdQHPPTM9n7nWj1y9v6HO83NVaiiK1cu/MPVGwh6W2tojqHx2Ll4H8hNkJcrpxQVOxlM/848uFh4wix8/hcSyN8ktLkwtCNB4R5nvxYObemvoslBUEQGBFBIbrmwHmHpv9P9rcc6Wj98XxL9qee59+s/2WMwND23rCMlkKvwvGoGhKOPRW6ZA2MU3HPmclg6S8uqYi7jBts3aWD3hmA/yWmdqlac1cs7TkHmfuFTWtErcbbYuZ2BgORp0ouNMB+foSe+afPSgtzGod8b6ccs+9ctxa7XVEYXALCIDAqgjA3JOqWxlt7U/M0oVBk9wejb9KNP37N/36+k+TsnBCWd4JpaeiSfdJSzofo+XHmsG55Xvusb3m/DPP2qUuanq+5TYda7qgx/P4VGCHUcrrfqS51+/P2J+sV5oV2T92h5mPRXNPWW7SxmXIWzrSb9WHJTRjmAJ7x0wIzmUb7VuYxKO010+9P2az6Tdm7q2qD0NhQQAEFkxgZ31T7Cv7GUvJabmO/oprpDCbX08n7yOzWWPEt1nJNUKnwao8/nhHr602LIWAtPqk+ls4LVdcndKah91pua1+2NIdvbQn5vI+W99frKxJ5DSZySHUiXxfyJWtAXM9na8Q6E4Urr2neN9DIf2MWW40u3WOsvVKr9MlE6i8556qSw1NVdKsep1bJlWrOTWdpxjmvj33mj0Gi/vdGe9M6bTcbnsXKRajbxn9O7Ats9iG2rtGnkK94C4ARQMBEBhIAOaeAqzbb6/9vZ/1FjaJTW9sfn+hD/UGsPv8rTkQo9+/LF9WGndC+iasvKONy3FDD9UhqPH0dnHpKCt7shfh8JlnzShdxIvvbSjkQSqfKKobK5Sxq9erCsK0rS+vuRdEV1vRF3d3dL59pne1uWSYYPH+idVjuz0Uh/PLRzCjyAvpqs+TROew+nUvy63x8vgr1U1gEZ/MK2yqLPKHuTewD8DlIAACIDBbAmP0jXvPvc4HSk8Krf7MVzpwo0BcOicsB+zSKfTFMfziabltPxoOEOA6taRvsq1EuBbi+ePLgLPf21wzDRPvtdvlR5vZZ6WZ8Iy0b/E+Kujw/NhRziVdLs11Sumk2Dpq2PY9trn3fKvrnFQjc52umGciM3twNo6lRNMW47ak43zmnl5+x7LcWubHbdeon5L+Z29Aea/PsJ2M8JzO3Ct8I/79L51d8S/E+DuAm7OzfS0jYyAAAjMmAHNvxpXjzZp0mpz3XlwHAvMjoI3yzy+nyBEIgAAIgMB0BNamb7zl9R84MV3deFMuLcn1pnGS1xWXK69d58y7/N52eJJxiUyDAAgsmgDMvQVULzqhBVQiihARmLfoQ1WBAAiAAAgchsDa9I23vPkqBnsZ6mFqjD9lvf15vPQ5Z79eLg2LeZff2w6P06bwVBAAARDQCcDcW0B0oBNaQCWiCDD3EAMgAAIgAAIJgbXpG3958yWR2gm8CKk5Epi3uTU9sXmX398OpyeFJ4AACIDAEAIw94bQmum16IRmWjHIFgiAAAiAAAiAwGgCa9M3ayvv6MDAjSAwIQG0wwnhImkQAIFJCXTm3qRPQeIgAAIgAAIgAAIgAAIgAAIgAAIgAAIgAAIgAAKTEDh7enp6ffv27SSJI9HpCWCEaXrGeAIIgAAIgAAIgMBhCaxN36ytvIeNJjwNBHwE0A59nHAVCIDA/AhgWe786mRwjtAJDUaGG0AABEAABEAABGZOYG36Zm3lnXn4IXsrJYB2uNKKR7FBYAEEYO4tpBIx83IBFYkigAAIgAAIgAAIdATW9pG9tvIi1EFgjgTQDudYK8gTCICAhwDMPQ+lmV+DTmjmFYTsgQAIgAAIgAAIDCawNn2ztvIODgjcAAIHIIB2eADIeAQIgMAkBGDuTYL1sImiEzosbzwNBEAABEAABEBgegJr0zdrKO/PD2d0RQ/0+vWf6QMITwCBEQTW0A5HYMEtIAACJ0AA5t4JVJKVxf11Qn/oy+WGnm9fCZrLor603+df9wf7IPj5gc4+v6GXXx/prwHVfLD8DciTdekp5tkq086/j6z/nZ+LBEAABDICY/QNf6+d0nsuLe/8++XhIfuTPpxdET1AZw5nN/aOJcbRWBa++8a8d3wp4yoQAAEQmJYAzD2Nb/WBd/Wt+/Xi7oV+few/9f98uaTN9pH436sb9v6bkRexE/rzhS43W3qMyieW4fk2Gj09nACoxfY3opsRAq/mm+R72kYipS7loS7T091gU6ic+6ZOto8KqxAbF7s+d9q63webg32gqeZOXxdxnYV2ta/8eeN7WqZSWW/o4fUrHWKuxT7KNvqt4Kh/8b01sC0OLaM3LkaXGzeCwAwJaB/ZJQ0x2NwT9FLfxpt34f21oAHvr9P+vpiOD+5k5h7PG9cMXs1YiZH23xj9Ruz9GvSymCbLU/y84n2GDm+epWge/v5n+pvHRYSjTnUUE19o7HDVtPpuh4wNvnVovzn4Ae0N2XunEIvqN4LwjajGLYuzPs3D6a6xrHAfCIDAvAjA3BProxpZ/ExvXn5R7efVL/V7uq7/34w6Pt090PX9FRN8U/2m5aXJfNYJtZ1EIjLajokikzL/WDyUAGj40g3RN4rNRV/jmMNH7uHy0H5Y0AU9EvuQIKJK6PygG/r2NHymWUr7UHXvq2Ppqn2ZZ2YODHNHm9m6r/wdLraa+JGXR+UftPsqn8n/2BcY9X8/eVuUARwyLo5dBXg+CAQCsrlX1hCDzD1JL1GV/g96Vw9mOM09Mx1fnU5i7tV5e6K7oGlb8+s9fW8GrT2asdKQ74m+tzPaG5PifPCAT1U3n9+0RmkxzaCn22vjMlApLyUdHteBw9xrdfN5Nwj9kz5c/qZPNQMhLlqO0qC/r/anumr++m6qko9NN22HhVjMlncU4m9gG1qN5hpbSbgPBEBAJABzT8JSd+jPdNvNUmFmX32PLPia5Pb4myMvkhjko8x1tmrhUa2G+ES/29lgofiNGKF2We4D0dUVNfMWLxJBGMrWj1bGo0otp7tz2m6ru5URp/Dx/J3ofcK5Z5cYKN3H9v/oPzHftQPbzXBryhQ/u/qtUqW39LwJ5ap+jzl4y5nPaJJmbuWdMo+JUn4lAVrVSWTy1qjaOK1/is09I21xBDKIv0LdqyOX9r0ZDy2twuhoUejskLeGY5jlekF3VfzeS2ZpWSBrdS63lVB//ezam4cXevO5maWZtsuXZrCBtSvixtxemSofLu44k9oca2Puuna8Vw5a/wPaoruMpTakv3Ps9161zcI0bTptN/GMFe+7DaoMBGwCorlX1BD5oIXed3iWiHrMPU86/aqOptRcczR/LZp73KSTZvvc8L3srLwV9GqnGYUZ28mgd6/d1P6uEaHpwDmv/jjNl6BXw7ML/W+WF0uHK1oz6OTQz4nphkwr3ErMkvJafaRQ3mTgSekX967vSnFbetdb/bZVfvl+t+4pfhMMfO9kdeoxS0vfge3zS/FVjD07/7gCBEBgvQRg7il13yz56A2g3Czbo4HX5UFO08pLIgaLHUIqrLSZe9vHXnRaI+B1Gt3SlEZEftNMvbac/chtYyambC1B0woNYTnx9rwXtemochAgwfDrBUmY3ZiWo/1dTU/KA/ug4GKA1Qvnmj4/Dsqex7sf0Yh3WHZScXj3I9kjrpw2G4GsxHY9Eh2MU63u4xHrtvxdvQee3rjR8vA3/duNivNnlGaZ7ZI33ubaGBaXOQ8z98bVQ+2ws2XncrtK0983U8WMjtpEuXx5TKRtslRnvK6t98rh69/XFoeU0W5D6lYA0cb04ntMfZ/vwk2Lt4/0wkxn/d22XuGFkvsJSOZeWUMMMPdcRozD3POkkw3UygxUc4/47DtLz8UGQjxYzZ47QDMmd7IyuzSNOiu6E4ftAPRX2iTa0jDrRP6WuaL050ke8/dyz0BL3zJTU3Mw1tuSbpUHuquZg1K/OIG+K8StR+Po3wMOjSB8T/h0z+79UNwO8z7Mii2PuRxPuMjNc8za8/cRuBIEQCAlAHOvEBFhTxcqfOiLM+T2OXMvMsTqLQCFvOTmnibkUtHhWpYbCx1RBMYC0yFqWBpap6kLGsFYE8VHnK9cxGVlj8WhmZ7D3GuFV9g0OimnyVE2977W4r6aeVkJgah81Qh3caSZXduloTwnbKpWEuIJI9uQTYSK50Oo1kbpDFq32BmSN6mujWWZ6R47/QzRJH9WHWezEqJPBsXc4xuQT8uUj8hXr55ozymrfH9JH06FWRvFuna8V5JQjuPGiM0R9V+/mzxtkfctxTLabSh7Z42pg321aa0Nm3mCBAOBYQTkva/CNin5IFCVujUo2eWAxXG6H1Y+GJjlPOgxTzrtjKp+iecAc+/6jp62fZnrO/m7S2vbVn9bNB21dy8zN1zt3jJE0t+lQYFkSW+HT0vX97xsmw2BY/ctkMy23I+5lz6/rFvT/QqFulHr2u5fkmiMY0KLW7POrX7b0gjy/S7dY+bNfgeVzb3mHdMtLxeT88Wf/A1psbPzjytAAATWSwDmnlj3ggm2JXF56vTmnp2Xfc/cU401Nt2/RxdmbNkdUibYsk7YFiFFY44JvqYsA829wihwYOOZRdOLkE16CrHJUTPdIr6VuRAMvcyATQ9SaVJr6yg2AlM1l5+UzEQu3wi4X/ps11kmyJTTaPVnlGbu8WUjVcHSDzM1pqW6Nsw91557Vh2r9SAZx06Ru1emTJiKM1ELcaaae/0pif66dr5XEtd16vp3tMVoU/e+qSlmsLS5u9T+4hnLVoxJdbCvNq21ETNP6xVbKPk4AtzcszXEeHNPNv12mLlXeG9q+7JJM/eaVxtfxpsOlqiDXy5zjxmHPQhxGW39rPjwME+7Fw2XPiZ4mt7ZUlleTNMvXOCZuZfGbNNnhW+Bqcy90Edaukox90QdYKVV0lDpFiJd3Jp1bvXbmrkXyr+D7jHzZr+Lpp65p8etPGBh5xhXgAAIgEBDAOaeEAk+UVEaldnfb568SBu/8lk+dTGl0WXrtNzMOCos72Cz1XK0+WygcE0vdJ0iJPvI5fk69sy9aGT95Q19jvcWLI6Uc2opj2AqPtBVP2o4pI7GjuyKHymBuV1nrtHW4jMK5t4ueRs7c0s4MjafuVdoK4UPrtw4dopcaUbmWKbZ7GNppkbpXWCMyvOZi7vM3DtS/ZttcRB7uw3JM/cG1kH8rtiFW3HmXilPkF4gMIyAbnal6cRmmXvmnqZZkvh2mHuudOL86saHtiz30+94C5R8z1Z1j2NTlxVMGKGdi6aEQ9NIA6KBiJhm9uz8HVkySMp7X1dP9tRrSY8pOt8yU5n5OIuZe0ZfFVmw9dY79ffFhu9NzlmNNffC3tI76B5HPFpvoaQdOmJR+96RJoCU49biZuUcv4MACKydAMw9KQKU0dZ0OcX+DLw+C0KajryII9t8pmE7kpWdltvtm9aLHX1JrDXN3OiU6rKkJ7bVT2WnruUmyZYeo+XImuGZ7bnH9oSLy1We/deakHzPvYiVtmQkPXm05VWdrnkenwpscYyDkgnabkQyOjAkmUVjpd3U0VO3xDLdc887w61ZpuKcHZUtk1LycPtMm8igSp/hN/eG5Y3lJfDdec+9sfXQ7rmXtEuHyG0/4LJ6HctUPQkwLAu3yheM/H62SdJm2HutXNee90rIVxsn7tjcof6ttjiojE5zT3hfy7PHHe/zYv6s/JTfI3qe1i65UP6hBPKP7IEaQlimm/Swtf54pLD/bv3bYHOvn/mkp1Po16Of9AM1mC6p8vjjHb1+FUaaGOR0xlnzY/W3cFqu9Hs4MKfXjO3z6Y5e2hNzi9o1yYM02NO/o7Zimuy9L9SJfF94sNVH5dqzOfAjnV3enSjcxUWIPyF9QWfr24kYfSSP20ybSP3iFPpOi1uLr2VSWeXfQfe0e0jv0g8VJ01IsRh9L7QtTN1TvBS3/Hto6PsS14MACIAAzD0lBvo9NpoL+lHhpsNpTpLt/zW/V6da7vu3v5r9Y6IH8uUc6mly8U3SyWzR1PX0tNxqKWtbtsQ4isRYdKJnvw9guTPXRQ6/L2Z8Qw/8NNgs39VpuaxeEnMmF5b20t5SevIyBal8YelhIvgbac1O95X3UwzX9aZbbjym+7A40k6WLATzxfqYD6ZJaA93dL59pnf1/n/Oe6ON/7MTal9+0ce/Ss8oL8uN28jF3bC8pXm5oYdqpmV1uLLyAZPuude/G/L6N+pYrAcptpr3SnHPveZrLT31dyemknDn7bRUvhAT8Umt6enZep3JB2qIs5G711T/jpy6/oe0RX8Z7TYU1y+f6ZzEZPfus9PcX7uJlwx6320QYCBgE4j1jVdD+Gfutc8XlvHxNsaNAmmAj58gnWjH2hCIhFx2qm2Tl+JpuWwQh2tDeX/o1mpoTcyOOB/A4vnjmjH7vU2pK0eh3Wszqaw0tT6yeB8VdHilFdN/fHuIVF/zMhnvOUFnW+Zeepp52kemupZrYUVv71vfFeO29K73mXt6+T3mnq57/BpbfgfJe32GrUiEOOjMvcI34t//pu+A8OiuDXFz1n4/4goQAAEQ4ARg7i0gJkRzbwHlQhFAAAROlYA2U+NUy4N8gwAIHIPA2vSNt7z+AyeOUWuCgZZsAXP8PB0kB8XloWvvI+ddfm87PEgc4SEgAAIgMIAAzL0BsOZ6KTqhudYM8gUCayUwb+G+1lpBuUHg1AisTd94y6vNFN9lKeI0sbHeviBe+pyzXS+XhsW8y+9th9O0GaQKAiAAAuMJwNwbz242d6ITmk1VICMgAAInINxRSSAAAqdBYG36xl/efEmkdgLvadT02nI5b3Nr+tqYd/n97XB6UngCCIAACAwhAHNvCK2ZXotOaKYVg2yBAAiAAAiAAAiMJrA2fbO28o4ODNwIAhMSQDucEC6SBgEQmJRAZ+5N+hQkDgIgAAIgAAIgAAIgAAIgAAIgAAIgAAIgAAIgMAmBs6enp9e3b99OkjgSnZ4ARpimZ4wngAAIgAAIgAAIHJbA2vTN2sp72GjC00DARwDt0McJV4EACMyPAJblzq9OBucIndBgZLgBBEAABEAABEBg5gTWpm/WVt6Zhx+yt1ICaIcrrXgUGwQWQADm3kIqETMvF1CRKAIIgAAIgAAIgEBHYG0f2WsrL0IdBOZIAO1wjrWCPIEACHgIwNzzUJr5NeiEZl5ByB4IgAAIgAAIgMBgAmvTN2sr7+CAwA0gcAACaIcHgIxHgAAITEIA5t4kWA+bKDqhw/LG00AABEAABEAABKYnsDZ9s4by/vxwRlf0QK9f/5k+gPAEEBhBYA3tcAQW3AICIHACBGDunUAlWVlEJ2QROsLvPz/Q2ec39PLrI/11hMef3CPB6+SqzJ1h1K0bFS4EARBICYzRN9w8OiUzKS3vH/pyuaHn21dajg/2kz6cXRE9LKlMc2+1S4yjaZmPee9MmyOkDgIgAAI+AjD3NE7VB+nVt+7Xi7sX+vWxt2n+fLmkzfaR+N+rG8b8Fu4JD7xhwqeUptYJ1YL2GxFPyxMa9fOeb486sirloS7T092eTbNG+GwfYzI39PD6lUaPK+/J0Ah12OfMn6+hrI5a5wVeQz/M9lWOofzK7WqCGPM05Paa/ZZlwIOrS9W67ZmI76jwDr7wtfehZdxXnAykgctBAAQGEBijbwabe3++0OVmS7EE6N9JzXvq/lrQgPfXqRYppuMr9GTmHs8bf68Kedd0r6ZTXSVk/UFR+7I8xf3ELpq5yadiePH+in0L8LhIdeM4ve3ittNFyzH3hvbzY7Fl751CLErP0L7Z1LhlcTZG848tK+4DARBYFgGYe2J9ViOLn+nNyy+q/bz6pX5P1/X/m1HHp7sHur6/YoJv5G9V+u+JvrezvJqX/3lrLpXSbDIvi9+mDHRD9I2Gm3Rz+PA9XB64eG9Nh/Mdlo3s0dz7/Kb/qEhjY78vo8PxFvI9Q3Nvz3SzD8ShpuV+83PA1Axz754u6JHYR3LtCZ7RD7qhb0/TzIA9arwfED8eBQKnTGCMvhlk7rUf1ekAQ6WfftC7eoDPae6Z6fhqYRJzr87bE90FTdsOQr+n782gtZT31sygMLBd1Km+slVXVXXTaRqX9m31T1wG2k0zu829lsF5N9j+kz5c/qZPtVYX4qLlKA36+wlNceVyzL0p6Ehppu0wfIcJsZgtzSl8sw1sQ6vRiIeqVDwHBFZCAOaePORCl5tnuu1mbjGzr75HFnyxaOAjvfZvbWYSMzFkUH+eKH7DB/V3ovdJWfq8J0s9ug/w/9F/bBZbL1T47KN4Fln1W+VQ3tLz5oqaOY/V75/od5feRSIuA8N+5DOkl89yCnmIO7u841NMum44Xpv1lrOtP/yTUflS2YMBHEb+L+ju7py2940p8ZLtL1OKnTQgEyFc/8SWtBRGE1M+Qdw9EF2F+gn1ofMuvgfVZ5eeFce4zItrpf2Uo1R/bfuu6mxbRW4TJ6TUWx6voV4+0xuWRj/zU/kQSJZuD21frD25Y0EubzJL9SB1G8dJNJhSv6KqAZVnuq3CNWbkLuPYeLfqoFoiJ7UhKa7jWRxD20R+rxx3K1EqKOZqCQzXN42BFO/ppn8ke5aIesw9Tzr9qo6mMrkeav5aNPe4SSfN9rnhg5JW3gp6pE6/WkErrGLIdKqhkTr9wt71cWTHab7wZxcMqoGaOdbi2ZLneDBKTNfQ5CVmSSuWNHMcE0J5k4EypR8X+8hd+p9S3A7XVakm4t8McfmduszQKmP7zaQdZnXqMUsdOr8UX8XYW213gIKDAAg4CMDcUyA1yyF7cyo36iY090RxMMzc600hEpaUWKKh7cyTZbltJx7NZktnkYVOPjfowoh4aphZ6Ul5YKKdc2KdIRf0uWGniTTFJDTK3sdII6a/hWUvRj5L7TQz9/gs0m4UueUVGZKSKbZ97MWTyMe9FDsewebPDrGgPYvzZbwYkH2UoxwL7fNbUy+IT/G5agzIafRFsWOqnMecaTbD1x0LVl4PVbf9e+jdj2g2R9jaoIrFdz+ivStL+eIf9FYMOt4vIR9dm7LS3IUbmxlQmfhtffLBAf095ujxcQkInBgBydwr65sB5p7LiHGYe550woCFsd2Hau4Rn32XDjqrM5Gt5xZNBGlguw0gVmaX3rJWNERpbpQBVnHQfKBmdpt77SB+rJv0Pj38Ypmpqe6M05Y0tTwIX80clPpxrR8Jg/aaJiv0XYX4GaOrOD+9/B5dNl2/GbdDbbBfnsBhmL/x+7fw3sCsvRPrqJBdEJgRAZh7hcpoDL5qgFXa82kqc09Ld4C5x8Sa1jHpokH48BU7+Fj45YZhJjbjjsxMz/PxnYqopJyiYNWEKh99rIIiGkG08lotEeGzI7MR1n4D6SHLAbm5V9xvhOVTnvEWbWLNhPaQfGXNJnm2YR5LPN3LckcY02YsyGI84WfFQLtcX98kPI+xZOmOmUdppLjw4VWMBe/HR1vLk9VtVKb6wzXMEInKVc3e0A6m2Xe8j6mD0sfqEG6ayDfzNCM1gayAwAQE5L2vwjYp+aBWlQX3zD3W7tL9sPSVBF0xlQE8MZ12hlG/xFOGJZp713f0tO3LXN/J+yTtXWQZj0XzT+srmB51vaesmUzp79IgRr6SoQYh7olYXl3T31ecudf5mO23QDLbUnuut3+1+nRL6wjPUevaSovFYhwTWtyadW5xsMrv0GUT9ptlc48tLxeb8rB4T5Ow2E3wokWSIAACiyEAc0+sSsE02pK4pHT40tvyC183b/zmXiaKsk7Y7uiLxlzHLE5noLlXGGkNYksym3TRvklPlWsFSXJGRp1vaSmMwDZe/pItD2HCMDEmOjWYmBJ9WVg+jVdJZzCH65jRzDfnDUtKq9lnU5t7+rON+JLqfnJzL90svcEZYmGsiIzLaYkxFmPibM5SHjUhzEzjZHfvfhl6GgtWXvkynIpV+qGrDgwMqluFX9WegqEnGdCuMo54x5nvDGeaYv4cbUIyMc08LUaLoCAgIBLg5p6tb8abe10GkveYrL2SfGgmQ+E9r+3LJpl7zSuFa5d0cEed6eMy95hx2INI95+Oza74YDPPe6o4Q7CtsyhN72ypMZq5KYbUp5YOgAr9YvgWmMrcC3261d8o5p44GGalVerz021nurg169zSGZamceqyifrNqWfulQbqMTsfnSEIgMAuBGDuCfR8oqJk0o37rTgrq7DHny4G08LxvfNOf+ZeNHr98oY+xzWd3JIAACAASURBVLPniqPRvNKl+oqExUaYmVcviWj3jjFn7hXy6TD34gM1ksvFD4d+r8hJzb3isw0heZSZe/Eemhy6Q0TuaeZePxjAYs6MV2OUmxvQu8zcO1jdpmUKBvgDXfUbrsfm3tTxPqYO3PlzmHvS3lZmnnbp/nEvCMyfwHB9M8Dc43vYBhxDzT1XOjFr3fjQluV++s32Ac7MFW1PYctkKfwuGIOiTnW8p0orA8Q0s2fn79Cxmjk291ynIHdVlw9oZwP8lpkqptUFXmSmWobcHmfuGX1rH7mWLvbFuG6uxoa1Q5cVZ+6VNJ/93ptyz71y3Frt1c47rgABEFg3AZh7Uv0ro63pcopxBp68VKBJa0vS8t+QQefMvXjGWXQyQbqXBxO/QSRGs8LUAyX4nmNsP6rYMCzP/mvLrKbnW27T8axO3DyPTwUu1Y/D3Es4WnltOuOn+FS5zZYek1l2bRrVCDzb8Lq0t4a8DKXNP4vTZpafNlvLEope3p5nW8/y8IrkZLI5upW2VA4rFhwiMuy9o8arJciEPDg+IHsKIX762RulmSPlWDDyWowri/+QumVpdR+r0UdqwTzbf7xbcTLMoEvzN5Bbt+des1dSeW+fdYsYlH7ZBPKP7PTU16r0RX0jLNONiYUZ6MlpuY53M9dIdjrJU9OVBtFP+oEaTIdUefzxjl6/JkchicHQ5C1dfVL9LZyWK/3eLPutb2pO1A19oKhTR7w765yWtC/rp4Q6GauZO1VdczmPDgzJV+10JwpXNwm6MHk3Z8xyo9ndp/O4zXS61I+z/pf1I94Z97xv5Xlu0rHq3KeJsj33um8Kjy4rl3eXflM6LbfbdkWKxUgbxuZlmgf7W4+/y5b9dkfpQAAEpiAAc0+hypdD9rPems6kOQ22/9f8/jLut7//pbN6cz/2rzaBqkM7tec17l3cCelGEe8o43Lc0EPhVEq17IJ55Tf3aqWUlo3vbRiNTEun5aYC7ZEScR4Lx3htbmH/xGQ1Xe3BRfvTDchrvYSxmklYHQT2q9r4uO3qayGZ53O0uRfEXxs6F3d3dL59pnftht1DZ+4FMV/hKvEO3OM2kj7bMjL46cIyr+Q5FE4AHJa2ftJzvJemR0Ra8eoTsqnQ4/dEBnAofBevodzxSa3pTA29PvgHhpXX9noxrobx19pCLH77d0ZuotcfU9GyG38Zh+XTFyd2mvtrE/mpicn7SXyPTSERkCYIHJfAGH3j3nOvFxG1kZVKhdTUcs3wEpYqdu+W2hCIdF52qm2TmeJpua0OCQOJ1rYdcc1l22jwdwjPH18GnP3ept6Vo9B/aTP7rDQTntE7sXifrZlLXNLl0rxMxntZ2PZF13d2n55qZK7TlX5cZLZD31WM25JmsXSGVX6nLtNipDsMJflQo5dIk5febPJen+EdIcRBZ+4VvhGL33r1ZjrpRIHjvnrxdBAAgRMlAHPvRCsuzrZ0mtwCirW8IkhLCBzLWY4GYs55OxqUYz1YEOfHygqeCwIgAAIHIrA2feMtr//AiQNVVOExOx3Wdfzsj89BUUOtvU+fd/m97XB8cOBOEAABEJiGAMy9abgeNFV0QgfFPfph0ghuvDRmdMIT3TjnvE1U5BknO28hPGNwyBoIgMAJE1ibvvGWN9cT1jLJYwXBevuusoZaL5cmEuddfm87PFarwnNBAARAQCMAc28BsYFO6BQq0VqicAplQB6PR2DeQvh4XPBkEACBJRNYm77xlzdfEqmdwLvk+Djdsq29T593+f3t8HQjEDkHARBYJgGYewuoV3RCC6hEFAEEQAAEQAAEQCAhsDZ9s7byItxBYI4E0A7nWCvIEwiAgIdAZ+55LsY1IAACIAACIAACIAACIAACIAACIAACIAACIAAC8yJw9vT09Pr27dt55Qq5cRPACJMbFS4EARAAARAAARA4EQJr0zdrK++JhCGyuTICaIcrq3AUFwQWRADLchdQmeiEFlCJKAIIgAAIgAAIgEBCYG36Zm3lRbiDwBwJoB3OsVaQJxAAAQ8BmHseSjO/Bp3QzCsI2QMBEAABEAABEBhMYG36Zm3lHRwQuAEEDkAA7fAAkPEIEACBSQjA3JsE62ETRSd0WN54GgiAAAiAAAiAwPQE1qZv1lbe6SMITwCB4QTQDoczwx0gAALzIABzbx71sFMu0AnthA83gwAIgAAIgAAIzJDA2vTNGsr788MZXdEDvX79Z4YRhyyBANEa2iHqGQRAYJkEYO4toF7RCR2mEpciSJdSjv3U+h/6crmh59tXwnfGfogiFRAAARDYF4Ex+ob3cafU56XlXWL/9JM+nF0RPaDP3VcbsdNZYhzZpd7lijHvnV2eh3tBAARAYF8EYO5pJH9+oLOrb92vF3cv9OvjX93//3y5pM32kfjfqwvG/BbuCQ+4iYRP6bfqeq0TqgXtN6I4LW/g1M98vj3qyKqUh7pMT3f08usj9bXhLZVx3Z8vdLnZ0mN0WczuMB8IjQjbxpmgG3p4/Ur7GuM+TDn2VCfOZMx4Ze25r1eIXidiXAYCIAACBycwRt8MNveKfX/TR9xfCxrw/jrVIoaG8MCbzNzjebtgOkrIu6Z7JZ3qKVt9TdUXf37TcSvqW5anIbq4pMObvCp9P8tfnd/oW4Brh1SrjdPbbnajL1yOzpn0GyDim713CrEoVYsWf2q8szjr09yv/h8dQrgRBEDgZAjA3BOrqhpZ/ExvXn5R7efVL/V7uq7/34w6Pt090PX9FRN8I3+r0n9P9L01rJqX/3lj6JR+a/Mui9+mDHRD9I2Gm3SmWXKAED9oHtqONTVCK4Y/6F1rrB3GFMs/JPb93H2nd4BQMB9RjJVWlJ13hvlP+nD5mz7V7W05oteEhAtAAARA4MQIjNE3g8w9s+93mntmOj7wk5h7dd6e6C5o2nYQ+j19bwatpby3/SaFgW2HFvWUsKqbz29ao7SYZtDT7bVxGaigmamkw+McOsw9h3ZITN+WozTo72Ez3TXQOUPZpu2wEIvZLINC/A1sQ0vU6kPrAdeDAAgMJwBzTx5yocvNM912s6WY2VffIwu+Jrmxv7WZScxElkHhN1H8htHH70Tvk7L0+UuWInajlf+j/9jMsV6o8Fll8YhS9VvlUN7S8+aKmjmP1e+f6HeX3kUiLgOnfuQzpJfPXgt5iDu7vOPj3Ev5jbn6lolkz3OPKvflTkftOA8ldvhIchtfObdwP6+H9DlDytEY2/1sRn3UeqpYiOP1gegqxFYokx4rXQ2X2lNn7klphxSGxn3K267z4S9u3AECIAACayAwXN9UXlW6p5v+kezp+z3mniedflVHU29S/89XYjBThpt00myfG76XnZW3gl6t069W0AorB7J+1aO3JC0dRXGc5gt/dsGgEvv4kg5XdHD151hvObQDn9HZGKUKs6TBSpo5jgmhvIkWbFnendN2WynuVoOJmi2kVdA5I/SsruFrkM0kCZ6/XpgJ3wxx+eX7ie/XOEqj2m/O5L2T1anHLLXij08csb/17FzjChAAARBodMTZ09PT69u3b8EjItAsae3NqawDH23gOV74JXEg/CaJ3350lIQlJZZoaEVosiy3FW7nvXBMZhh2hlNu0AVDqL6+W8ZipSflgYl2zoIJMS7o0+cnle0SY2l68eyvNq+hbHU+YnO4fZb290zwxUuAck7lcgWBzQ3FdiZorV3jD59COboR8LAcqb/2hQkssW4fvbGQf4zJ6fVlEhmoy8hzJj3y/Lc0bStODd6uOserFwRAAARAQCIwXN8MMPdcRozD3POk4+wL1Jl7xGffpUaZOnvdem7RwCqYcazMLr2VDVSyGo/S3CR6sTfjci3eGnKZoWZpbcWgSfJoa4c8P5aZGspsaTVLpzfP+ZZs28JmmFUarl6lEAbtNQ01Qs9mWpLp4FY/pvmL69sqv1Q+Qb/WK6mGalT7XRu3w/zbwYotI17D4wvvDczas+sIV4AACMgEYO4VIiPsWUd8b5L6ntLLfexv49KV94YIy4h5h9s/Q5651+xllwlFUSDGwi8XIlkacUdmpucw91rxEDZmTjpgUbAqQpV1sOlMq35GWrGzjcuTLeWIzb0t9ctDpeDjo9+U7utolksSrGm53eXQhMeIPNix0MdrQ6UcW+K+PcYekV17TmZMGALajFODd7V8aGPVObonEAABEAABl7nH+h9p0M49c8/V9+d9cpfPoA096Wi6gBVaNPeu7+hpy/pI3jdpxpllPBbNP82oYhrX1ASWts1/1+q1W9LbcdP0tmXAeMy9Vo20+1ensy219IeZe+lhXkN0j/Acta4to5AFoVvPlnSbxcHSqvL9SdserVHtd23Z3GtMxjwW43R98Sea1ezbxs4trgABEACBngDMPTEa0k6lMXtIXFIqv5jHm3ulzWK137i5l4kiZfnEIHNP7ETjznmguWem5zH34lG8TXrqKZuq31ezsBRGEwiekelkN+VoaWr0/GT/Fe3vmlAVZyemh340t6bLVHPB2J9OJ46wS+XQPhZMtgNjYUR6Y8y9gDhtz4boNeNUE6jRaYBmnaNLAgEQAAEQ8Jh7tr7Zw8y95L2/w8y9Qv+t7csmmXtN98y1i3PQzmXucZMm1IQ8IJppUbMPN5Yghllg0WFp3tlSumb2mSupVsoP/EjsmuRbYCpzL2gHy5BTzL3osJI+71ZafMl4daehZ806H2vuhfI7zT2pvGbe7Hft1DP3St966iojO9u4AgRAAASwLFeKAZ+oGGvg6feNMfaq/OtiMC0d3ztvkLk3YgaTPVuLL121l5nI+8U90+3LG/ocL4W1lqIkaBQRUjL3RNEuLMVVR+CcI+J8hqhZLms01LO0uS1HcVRUKmtnn6VGqzQT1JzFmUjqLL1dzL30lLyJZ+4lmy1bYhc9EgiAAAiAQExguL4ZYO5p/fNQc8+VTlwqvS/QluV++h1vaxLMsnigTztV0+p3Cr8LGkDUqaYukQdrOwuxmhkXGXv137Nn5311STOXV9dUD3CYtllTzAe0d9tzb0OzmLk3Rs9ulO1nOmZW3Fla1WnuSfsbOuLRestOuedeOW4tblbO8TsIgMDaCWDmnhQBymhrupxyn+Zeu+yD7uilPTG3z1bpt+aqvBNKT0WrZUx8Ai/fKyOMckXLjzWDc8v33GN76MVCpWjuhT361PSk5cS5aO8EGl3Q43l8KrA1aptWfFiKm5yWO8Dc6/do5BtPK0s/1FNahXw7PjSyeHlke+519VQ299JylPdvkWet9qJ5aCwMSU8096IyJtbgl0vqTgXsPhpCG7FGtNv2Z8T9tsCb1002U2DtvRDKDwIgAAIKgZ31jbA3GO8fNttH0vt+nwnk0RCevkA/LZf1RZUu+PGOXr/+Y8aOtPqk+lvoF8XVKa0u7E7LDZqtoFMH9eF1rkv6lpkcgg7ainkJOGwNyHVxsx1IP+s+ZlSnWuch1Q5JmTNmkmZN81fSDslgdqbTJROorNnUAX1J69Z7jpf0rMXXMqnaule1k8PcU/eFbvYY1OPRbDJs0oQjFiON2KQu8bG/5/KYtPOKK0AABEAgJgBzT4mHfn+u5oJ+1lvzkm9Og+3/Nb+/jPvt73/p7IqnWM2Kf6DXdz/031pRF4tBfT813lHG5bihh+oQrXh6u7iUkJU92Ytw4FLMRimlvPjehkIepPKJojoWjvWSlvafuH9i+5swlT9eOiPu49NW28XdHZ1vn+ldJYZqoRTVZzi9Tvt7EkmSIOB1F0SRVK5QD/GpaKlIc5ej1ifxabn5SW7Jat6O7ZhY8JTplbrvGL5kuLj0lac95EQ6K04N3q46R6cEAiAAAiAgERijb9x77oUHFvt+n7nXSI70dPlEOzr7At3c6/uicIAA16ny/tBNIdO9hGtRmw4m8/zxZcDZ7y287nTeQh+uzaSy0tT0R/E+KujwZCq9yCVdLm1rh0QDCScg65rc1mqpRuY6XTHPRGbWIGZrQg7Rs6bG9pl7z7eaVvWYe2M1qv2ulfcyDzNlBS3cmXuFb8TSt14tbrk5a+cTV4AACIAAJwBzbwExIZ0mt4BioQijCGgzBUclhptMAuBtIsIFIAACIDCSwNr0jbe8/gMnRoLf423qSb57fMYskyouD127dph3+b3tcJZxh0yBAAismgDMvQVUPzqhBVTi3oowb8G0t2LOJiHwnk1VICMgAAKLI7A2feMtbz4jzFomeazQWG8fmS3rTapgvVwaDPMuv7cdHqtV4bkgAAIgoBGAubeA2EAntIBK3FsR5i2Y9lbM2SQE3rOpCmQEBEBgcQTWpm/85c2XwWon8C4uKBZRoLVrh3mX398OFxGMKAQIgMCCCMDcW0BlohNaQCWiCCAAAiAAAiAAAgmBtembtZUX4Q4CcySAdjjHWkGeQAAEPAQ6c89zMa4BARAAARAAARAAARAAARAAARAAARAAARAAARCYF4Gzp6en17dv384rV8iNmwBGmNyocCEIgAAIgAAIgMCJEFibvllbeU8kDJHNlRFAO1xZhaO4ILAgAliWu4DKRCe0gEpEEUAABEAABEAABBICa9M3aysvwh0E5kgA7XCOtYI8gQAIeAjA3PNQmvk16IRmXkHIHgiAAAiAAAiAwGACa9M3ayvv4IDADSBwAAJohweAjEeAAAhMQgDm3iRYD5soOqHD8sbTQAAEQAAEQAAEpiewNn2ztvJOH0F4AggMJ4B2OJwZ7gABEJgHAZh786iHnXKBTmgnfLgZBEAABEAABEBghgTWpm/WUN6fH87oih7o9es/M4w4ZAkEiNbQDlHPIAACyyQAc28B9YpO6HiVOF6k/qEvlxt6vn2l1ejbnx/o7PMbevn1kf7aS5WtkGHGDQz2EkpIBARAYJYExugb3i+P76cPjyQt7xLf7z/pw9kV0cOKtM/hw4g9cYlxNC3UMe+daXOE1EEABEDARwDmnsapMiKuvnW/Xty90K+PvSXx58slbbaPxP9e3TDqt+R5F3T38ouixxXT1DqhWtB+I7oZIaLqMjzfHnVkVcpDXaanuz0aRFEA/PlCl5stPUZ/4vXLn29+NPA0L0LeVyi2VHNvLItx9+0jhg4em+x91LfpcQx83QOuAgEQAIHjEhijbwabe0Lfz9+x99eCBry/TrVIMR0fx8nMPVWLtPly6J+gbUNJxmhLYjqgmCbLU/w8Ky8lHd7kX+k7uU4x+t5tLBhpnN72RcYuVy1HJ+xDv3lIZu+dQixK6Wnxp8Yti7M+zRt6eP1KmOPqqTVcAwIgUBGAuSfGQTWy+JneBIOtfqnf03X9/2bU8enuga7vrygVfCN/q1/qT72hV/+/GtisXuilNJvMy+K3KQPdEH2j4SbdXM29yZpt27EmYrXtzIkZu3EeiuYer9fW+H1P3+nXR8LMvQ7kWOE59r7do+ig7aONw/POpP9JHy5/06d6BuTxGOxOESmAAAiAQJnAGH0zyNyT+v5ad/2gd7UGa96xprlnpuOr6UnMvaIW+Ytqw+3qWzoQzPVP9f/3RN/bmfeNSXE+2Hio6ubzm9YoLaYZtG97bVwGKuXF1sxuc8/R9yZx0XKUBv19tT/VVdAJQ8mm7bAQi9kylEL8DWxD5uSBoYXC9SAAAqsgAHNPHnKhy80z3XajJczsq++RBV8sGrgY1H6rRVIyAjzseaL4DaOP34neJ2Xp854sCe1GK/9H/11uKB6N7IVKU+b+t3hEqfqtUn639Ly5ombOY/X7J/rd3cNnJGrp8b9TN0My7uzyjo/XSSm/ccUX6jIxWisNnO4Vo3e+1tKTILYeiK4CL8ZHHSl03CuNAt6EPW68XGo3MpnNmM8Y8+b/gu7uzml7Ly3L1YSn8PdkVN3i0Laj6rnbKiKbeCW+349WRvHvvtiM27reXqpl2QV+IUSTwQX+wrIY9O3d327TOExHmvNZxavoKVFIEACBoxAYrm/22U/rWi/VbVZ/3/YI7YqP5n/yu7Ro7okDwf0Kk0Z28b3srLz59U8SAFm/5NEVkraNUo3TfIkHuRXdWuwjSxq9kF6sMRx9b6bzmWbUG42kmeOYsPSPrG/+KeiWot5wz5LM8yhrCyV/HRCr/Dvqt/YbTc6b/SpL2mFWpx6z1Iq/oK/DxBGWp2Ls2fnHFSAAAuslAHNPqftmSWtvTuVG3f7MvWbUNMzUqzIkiTH9eZL47UdHmxliaf4t0dAuLU6W5bbC7bwXjunIbRB2wfDrhV4whFIxbKUn5YGJds6NdYbceMtN1Lbyi51oKkbd5l6dZmwQy6bM9rEXSmna8eyslkVnAAe2hXujmad8lpmbSxWH3QyxoXng8drE9LduWXLMYzdzL2aYxmT7zNbUC8saMs71TNyw5CqU+W/6Vy27IzaDsDTbi1aHOZ+4nP2vVixY7Sy/P2FoxvF6O0+UHARAYHoCw/XNAHPPZcTI2ivRE550nO9S1dwjtsKj1on9ChN1Nrn13AH6J6ltY+BT1Fvq1hxtylGam2zQe6gJaZkriu4QBhBLfW/+bWCZqZ0j2Q6W9xpA0tTyIHw1a1/SN2yGWafhwqD9CL1ZiJ+ylpT1V0m77E+/faQXNoir6n/lFRa3w/xeK7Z681ie5JHHO192i1l70/cteAIILJUAzL1CzYY966hgSHhn5/EOjd/XPau+8IIuLh7pPDlsYYC5x8Sa1jHpokEwL8QOPhaXuVDKxGYsBs30PAZKKqKScoqCVRk1Lorf9Bluc88U+7bBmoRmkkfjXl4ecyTaGE3vtGhsWA7MQ+1Zawdq7GbupYeSxGWRRXZSh2Y9xQZwb9aqe+6FEwDN+B5Y/zW+Zg/NdMbHiHpIPgol9hHDavnTZkv9kuCldoUoFwiAwBwJyHtf9bNdpI/2sf10Oks5H6jM+ARtyPoRMZ1siadMWzT3ru/oactm+JT6+Thpq48boH9UHevSW5Yhkv6u1Wu3pLfLjJau73nZoWaCTin1vbuae7p+sTSCoG/UurbSYrEYx4QWt2adWyanoT3aLZD4wSsu/WbmzX7Tlc29Ro/lsRin64s/+RvSYmfnH1eAAAislwDMPbHuBdNoS+yQi9KLe+xvITO7zdzLRJGyfGKQuSeKhrhzHmjumel5zL14hH6T7mHHlhj01SwshRkwcj32oyEPM1ts8Y13w7LSsAdQeUS3H9FP8jyES3Q4TJ//9INHzYNUvwcz98JJfE5zTznBV+fviE0zvu3617qlJl/hfWSkMyYffOZwFDPz20tovZ03Sg4CayDAzT1b3+xh5l7y3txh5p64uqA5tEt7l0rmXrO0kGuX8qqCLjZc5p6yNJDNDuwUKj/YzKMrjGWG/KAE72wp/YAFn7niMfdCuaW+d//mXtAvlkZQzD1Rz1hp9QcB5lov3Z6li1uzzi2DSjP39qDfzLzZb86pZ+6VDgYZOsvQLg2uAAEQWBMBmHtCbftExVgDzxIc7QynZJlulUnvzL3mOn6CVy0Nu6WHzo4+XpY7YibS9DP3guh4ptuXN/Q5XgZrLUVJ6r0gQoylJ7vvufdKX/v1onQWhJn4URBmjnlma8Wn/kZ7Iw7hsnMe2LLkg5l7wdh0mntZWxPaION2jJl7fciWTfVkhuSIdttsCxAdKNR/JdZLq/lI+po6TJQVBEDgsAR0syvNR2yWuQfhxC1Q+PvfYe650onzq2sObVnup99sb+bMwNBO1bRMFr/+qUogmhIOXaEuG9bSdOxzVjJIyvti65q6bKzkfe9ue+5V++5GGtCaVZ9oqD3O3CtqPSVuN9bWM1bcTT1zr7Qtjv0Om3LPvXLcWtzsvOMKEACBdROAuSfVvzLami5Nm8rc43tmdGOG4olt1a95JxSdvNvenu5lwUa2g0iMlh9rBueW7yHG9oGLhUrR3NP2JIsOFvEst+kEHF3Q43l8KrDDRI3qPh2R7aDVSxLj03L9Hw1hJDSd8Vk9Rz0tNxZukqlY7wHZn95XnDX34x29dq5hHOQDuOySh+6U5+hUvM2WHgftuWfFaTCy2Z41XQw5zD2ez7BHze0zbSLTr9+Ds+LP9x9s+Kax0eZtQHvRli33MdMey1bXS2jjllHvy0e2b2FywE/6DspmOqy7D0XpQQAEJiSws77J3s1pZsMM7f6wqDHmXj/zSU8n74eld6l+oAZ7l1f9gNrPS2XUtMhf5NM/7fPpjl7aE3P7p1i6QjJyeoNtK6bJ+m9hNqV8n62ZuyuyE3/zVTuNXtP73sTca7V0STNyZqW+V1x10WkoSd/w74ewh3Cz5553pQXXOzzPTTpWnVsm1YT67VdT3uJ+d8Y7SzottxvYlGIx0npN0hKfUhtq7xp5CvWEr2AkDQIgcGIEYO4pFZbugRfPems6LHY+WTsr7mXcb//7LzmRNF2uUXpeIzjiTsg/kyxO94YeqkM74+n84lI8lpfEqMnFW9ncq+2QlBc3foQ8SOUTxXnUuSazGEVzqQ2CusOOazZfwjvE3Ku79+R0vHr6ZCuMLVMm3mOtuu2OzrfP9M5j7iX7s7VlE+rKwyVuB0PzkJ60e0MP1ezK6kBl5cMgnW0a2JfitGL4nuj2mu6vwkzFePaCx9zjJwKzDafbcEjLLi9TyWNzWHux9iTs+Qw5Uc9qZyEO41N7I4a8TWQnMZ5Yj4fsggAInBSBMfpmaD/NT4WvAPGVDtwoEGd4CcsBu3Sc79LiablsMIrrVHl/6Ng0qNf3Nv+4FrL0T/Z7m07XJwirRsIztJl9VpoJz6jfK95HBR3emnRRC+AaLdXfvEylk2JrqGz7nnyJeP9oo++tLyzpH8U8E5ntoDeLcVuoc202awfAKv9u+i2Yax6dK70Q5b0+g84U4qAz9wrfbH//y74xeBvSJnec1CsbmQUBEDgyAZh7R66AfTxeOk1uH+kijdMk4N+I+jTLh1zvk4A2o2Kfz0BaIAACIDCOwNr0jbe8p9TPl5bkjouKE7mruFx57X3vvMvvbYcnEonIJgiAwIoIwNxbMWzCGQAAGpRJREFUQGWjE1pAJe6xCPkMMmv5xB4fjqROjMC8BfaJwUR2QQAE9kxgbfrGW97T6efX28dkW2okbWO9XBoM8y6/tx3u+XWH5EAABEBgZwIw93ZGePwE0Akdvw7mlYN8qQROOZ1XDc0nN/MW2PPhhJyAAAgcg8Da9I2/vOjnjxGP+3vm2vveeZff3w73FxFICQRAAAT2QQDm3j4oHjkNdEJHrgA8HgRAAARAAARAYO8E1qZv1lbevQcMEgSBPRBAO9wDRCQBAiBwFAKduXeUp+OhIAACIAACIAACIAACIAACIAACIAACIAACIAACOxE4e3p6en379u1OieDm4xHACNPx2OPJIAACIAACIAAC0xBYm75ZW3mniRqkCgK7EUA73I0f7gYBEDgeASzLPR77vT0ZndDeUCIhEAABEAABEACBmRBYm75ZW3lnEmbIBggkBNAOERAgAAKnSgDm3qnWXJRvdEILqEQUAQRAAARAAARAYNUf2dBzaAAgcHwCaIfHrwPkAARAYBwBmHvjuM3qLnRCs6oOZAYEQAAEQAAEQGAPBNamb9ZW3j2ECJIAgb0TQDvcO1IkCAIgcCACMPcOBHrKx6ATmpIu0gYBEAABEAABEDgGgbXpmzWU9+eHM7qiB3r9+s8xQgrPBAGTwBraoQkBF4AACJwkAZh7J1ltaaaX1wn9oS+XG3q+fSVovwUEKIoAAiAAAiAAAiMIjNE33Dw6JTMpLe8StdBP+nB2RfQAfTeiOYy8ZYlxNBKF87Yx7x1n0rgMBEAABCYlAHNPw/vzA51dfet+vbh7oV8f/+r+/+fLJW22j8T/Xl0w6rfkeRd09/KLwuNCeuHhN0wUiZ3Qny90udnSY7jp4o5efn2kvgTD46rOx/11mk77nHOWJ/Fa9yMhRNyocCEIgAAIgAAILJSA9pFdG3bfiLgeqjAMNve4XqI43UaP3F8LGlDRQ53uStLxVdBk5p6lCQUGmu7VtKirhJXW/fym05FFfcvyFNe1pYtLOrzJp6IzWf6IfQv0eWju38aVPaK+Xcx2vmg5mrpu20+7f89YSLP3TiEWpbS0+FPjlsVZn+YNPbx+JcxxtWoMv4MACAQCMPfEWKhGFj/Tm2Cw1S/1e7qu/9+MOj7dPdD1/RUTfCN/q1/qT72hV/+/Gtj8Sv9Uz35P9L015pqO4Tx52WedEE+vNRzf0/fEoBzcDBIO7d2hQ7pJl1hUHfDnN6kY9j9vOULEX2ZcCQIgAAIgAAIgEBOQzb1Go9EN0Te6zZZ3DjL3Wg2TmoRV+j/oXf1R7TT3zHR89TqJuWdpQinvrZlBYWDboUU9JUy0YTHNoKdbHRmXgUq6uKTD4xw6zL1s8Ponfbj8TZ9qPS7ERctRGvT3sJnuGmjqoWzTdliIxWzGRCH+BrahU5pxPJQvrgcBEJiOAMw9eciFLjfPdNuNljCzr75HFnxNcsN+y2e5Sc9rMyoYbFInVFzyoI5Atc+9O6fttpq1yEeM8nLVQq1R2Dov9+hrmLEYhMgD0dVVlTQRpbMZA+N+1DTNazo6xu+drkEhZRAAARAAARAAgf0QEM29MLvqO9H7RKs1z/Sbe54loh5zz5NOv6qjyaWsS4rmnjgQ3K8wqZNlA61EVt4KejUeaObVmWlRPpNNmnFU0La1dI4G0l+iQe5IV4vbtUgDz0Ud3uv0LL145p6YbgChcCsxSxhW91cj97f0vJF0rmDIJbMKFb0u6m2Hph6s03uGsg73fE+Uyi/fT3y/RjXfnnjU31FJO8zq1GOWlr4D9e+5LkfF2NvPuxWpgAAILJMAzD2lXpslH5U4+US/hSUZQw28/jHaaF87U6+RpvqeJIJwSDqhukOIjUlewHjksRWb3dKS5rnfMlMvyn01c/A5jJQHodaIk85QTPJYeJ6a19Ap9+LXEuuJQWoyWGZjRqlAAARAAARAYEkEJHOvn/1F4pJZSy90fFxGjMPc86Tj1CWquUdshUetE/sVJrUG6rRZFAHWc4smQsGMY2XmzMWtWfiS10ye9obeJtsGZqgJaZkrjpl7rUG4fZSMWC19y0xNzcE47XRljsfc43qdzTCrYqSeafg/+q9eQqxp6jE6PTfR0zq3vidynZ+WX74/jTOtvB/phZmAQ7cKitthfq8VW73xyZfzJyFfeG9g1t6SejGUBQQOSwDmXoF32NOFxP3qhs3OK5p7YaS5G4C9oIuLRzrPDpSQn1keYTICKhF+DlGiLBmuOtKwDFcVmXV/F5mP2ZKHVPQkI6rmaGokQqslG5st8X0AD9u08DQQAAEQAAEQAIFdCMh7X4VtUvgAZfOkseZeOuM/zDzjM4Ci0gRtyD7SxXRUvZPSEc296zt62vZlru/gpp1mnFnGY9H80zQh06KiQciNQcsQSX+XzBh5uxctXd/zijP32qrpvgWS2Zb7MffS58fMfOZeskpHrWsrLdZCPTrdrHPre0IyV+Pyy/cnbVsrr5k3+41UNvead0x56yFf/Mnmn8XOzj+uAAEQWC8BmHti3acv1kaoUXLIxV5n7mV5KHRqwkayQ809vqFrv/zW06H013z6HY0Ud8KyGSGMBYv+vCBQm4M/+n1KDCHCpuH3+KLR1eia+e1/st4XDkoOAiAAAiAAAl4C3NzLTB/hQ36sudflKTENdpi5x80Hhy6RzL1m2SOfPZaaZ+pMH5e5x4zDHkS6/3RsdsVa1K3JtOe0hmyUpne2lH7Ags9c8Zh7AUf6LTCVuRdWwViGnKDX1ZmRVlp8yXhV4mhZtRS3Zp1b3xOauRfK7zT3osNZurA182a/faaeuVc6GGToLEO7NLgCBEBgTQRg7gm17RMV+525l2RDEGOljmDQnnui2AzLeK3OuMllGLG6fd7Qj3ev9LU+xqkVmg/XdH8VLQsuPi8udfxsj7lXWnqspbumpo2yggAIgAAIgMBpE9DNrrRc8SCe29zTtkAZau650vHpEm1Zbj2YGp/OmxkY2qmalq4btg2MqEWtpb/toW7isuEw05IPXDv2OSufnOoz91ynIPeuUb0MvDEElfQtM1VMK/zxSDP3xuj0jWMLoOZkwPYbgb+Hpp655/1GkN+PU+65V45bq72e9vscuQcBEJieAMw9ibEy2pou85zK3ON7SLRLQkg/+l0c2WYzDSvDsj4t9+9/+5N4u+XAQRQ6O5V6dPCJLh7Po0M0Wh50QY/n0el10r4s9V6G/Gj3uKO3Rhkt0RZXqiQgpm9YeAIIgAAIgAAIgMBuBPKP7Ce2iiLMOjrvdIXf3OtnLCWn5Q429zzp+HSJfqBGqwXPH5rTgas8/niXnRQs0ZZWn3Sa8ONfJK5Oac3D7rTcsP+cqEUtTabpsJK+ZXpUqJNtQReXV9c0lNI93qq/5Kt2at38sT0Stc5DiD+hzBmzfIl4Xz9t2aN98PjEgiSOg5nbbRMk6XVtD7p8RU0dP2HW2w46Xd9TzvqesMrvmLnX1tdTONGZ7TFY3O/OeC0VJ01IsRjaJTNv0zzY33N5TO72/sTdIAAC6yMAc0+p836PjeaCflS46XDY+WTt7y/jfvvff/UecfXKi+RZtftGZ1f8aemJaNKG09lS2GjfwLhsF3d3dL59pne12WZ1xgFWy4DtRRiemYhktp9g8jxetu6UN8vcq2VZPYLan9JVg6OXXx/pLzXd9TVwlBgEQAAEQAAETpVArG/0TeZT7TLE3GtdnkSDpTrMsSw3wBWWA3ba0alLiqflMjOD61R5f+gmcyVNWF+QaU22DNjUogVNps3ss9JMeEb5Kd5HBR3emnRRY+Bc0m1ceJliJkJ5hROQ9ZgNOveB6Cp8U/CB7/h744Yeqku7ZaiKXheZ2Zpa/S4oxm2hzs3vCav8HnMv3donXbpeypv9NpT3+gzfaUIcdOZe4RuxnlxR+p7j5qydT1wBAiAAApwAzL0FxIRk7i2gWCgCCIAACIAACIDAigmsTd94y+s/cOL4wVM8ZO342ZsuB8XlymtfVTLv8nvb4XTBg5RBAARAYBwBmHvjuM3qLnRCs6oOZAYEQAAEQAAEQGAPBNamb7zlzWeEWUtj91AZo5KYt4kzqkjOm+Klz/kt6+XSsJh3+b3t0BkKuAwEQAAEDkYA5t7BUE/3IHRC07FFyiAAAiAAAiAAAschsDZ94y9vvuwwXVJ6nPrCU70E5m1ueUsx/rp5l9/fDscTwJ0gAAIgMAUBmHtTUD1wmuiEDgwcjwMBEAABEAABEJicwNr0zdrKO3kA4QEgMIIA2uEIaLgFBEBgFgQ6c28WuUEmQAAEQAAEQAAEQAAEQAAEQAAEQAAEQAAEQAAEBhE4e3p6en379u2gm3DxfAhghGk+dYGcgAAIgAAIgAAI7IfA2vTN2sq7nyhBKiCwXwJoh/vlidRAAAQORwDLcg/HerInoROaDC0SBgEQAAEQAAEQOBKBtembtZX3SGGFx4JAkQDaIQIEBEDgVAnA3DvVmovyjU5oAZWIIoAACIAACIAACCQE1qZv1lZehDsIzJEA2uEcawV5AgEQ8BCAueehNPNr0AnNvIKQPRAAARAAARAAgcEE1qZv1lbewQGBG0DgAATQDg8AGY8AARCYhADMvUmwHjZRdEKH5Y2ngQAIgAAIgAAITE9gbfpmDeX9+eGMruiBXr/+M30A4QkgMILAGtrhCCy4BQRA4AQIwNw7gUqysjimE+Liahqx9Ye+XG7o+faVoOGsWsTvkxP4+YHOPr+hl18f6a/JH4YHgAAIgAAI7Epgvvpm15LJ96flXaKG+kkfzq6IHqALp4kgKdUlxtG09Ma8d6bNEVIHARAAAR8BmHsap8oIuPrW/Xpx90K/PvaWwJ8vl7TZPhL/e3XDqN+S513Q3csv6h5n5EXrhGrD7hvRjSCiBpt7f77Q5WZLjxEvkcnzbTQaezhBUSqr1RTq+krybd2x/9+lPNRlerrbsxnV1Mk2rki6oYfXr3SIMfRpyuSsD9Xc65lIbYVC+7vw1cXQMs4h/pwEcRkIgAAIHJTAsfRN3xc0/cP9taAB76/T/lnQSWKfUiA4mbnH88b7M6/Gi8TD0LLVxWb9cNDLAUmSJstT/FvxPkOHN89S9CnXCUx/87hItZSstw/aYMSHHU6LT13WofpqbH6y904hFqVnaN+BatyyOOvTPJw+H8sK94EACMyLAMw9sT6qkcXP9CYYbPVL/Z6u6/83o45Pdw90fX/FBN/I3+qX+lNv6NX/rwY2K8OllJcm87L4be6jG6JvFBtuzT2DzL2205FEF0WmZ25SHEpQlMtqNbk5mCuHy0P+oTLNrE2L+hF+N8y9e7qgR2Ifa21b+UE39O1pmll/h6v7IzDHI0EABEBgBwJH0Te17vpB72oN5jT3JJ2UpOODMIm5xzVma369p+/NoLVH41U6+D3R93bme2NSnA8eGKz0xuc3rVFaTDPo6fbauAxUyktJh8d14DD3WkPnvBsg/0kfLn/Tp5qBEBctR2nQ31f7U111KC0+Vf4Pn27aDguxmC0DKcTfwDa0Gm1++OrFE0Fg0QRg7knVW3foz3TbzWZiBlt9jyz4muSG/VaLpGQEOHpeJWKMvIjiNxgZ34neJ/cPNfcKZelMyE/0m80Ga8QNtctyH4iurqiZB8lmJbas+tHPeJSq5XB3TtttdbcyglUsqyBqOpPnf/SfmO+qt+Yz3OJnV79VKveWnjehXNXvMQdvOfOZdEEYxh173snzeinlNxe0ySyEzPQaWnZW1sIIZ1oOR/2qaYV6LcRWcu8F3VVxdC8ZdHFakalfN+W2/VWPiZf0ustYyqde93b8VcvdvWWPZxMM5ZbfK7fVRfeTKBwIgMCRCEyrbzxLRD3mniedflVHg5JrhOavRXNPHAjuV5jUCdzwveysvHk0njCzPxn07nVvuX+QtHQUWHGaL/Egd5++uM1LlhdLhxfSi/WQmG7Ir8ItGZwvNRpJR8YxUdKulbmo6CdRm+zS75fitqQVLX1nlV++n/h+jYZGHKtXknaY1anHLC19B7ZxUYqvYuwd6WWMx4IACJwEAZh7SjU1yzx7w4YvyRhq4PWP0Ub7wky96spUjFl5kcRvPzraGGw8/+6Ze8UOJhVq2sy97WMvWKznpkZnw+GbsWy0XFZLILXCRVhOvD3vRXI6Sh0ETTD8eoETZjem5Wh/V9OT8sBmV3JxweqFc80NY02Q5nkrpxXK2tdpyiYe2W7LFRnXublXqt9SWnk+0rR5O2tjSVxa28fIux/RrIKwtKeKjXc/ov36hpTRyqej7kM+Oo5WmrtwYyPU1buonanwwkS1HmMn0fchkyAAAidAYFJ94zJiHOaeJ51s0FiGr5p7xFZ4sFUd6gxw67kDNF6SY1Zmlwax9r2N0txkg95DTUjLXFEMmiSPeV9b1PL1j5aZmmqxWB9LOjMxM5O8SfpY67/DQLamxQuaoRA/5Tq39LtDSwr6X9KQT90Kov3plbgd5lrHii2PudwuUe9WaaXvA8zaO4HOCVkEgZkSgLlXqJiwjxsVDIHc9LNe6nKn0D2rzs8FXVw80nl0EEUpL/LeEGEZcW6w1PKDfairHUlRGKYixrUs1xwVjQ1Dh0hiwlTrhHWBJJgrYpnjfOWiMCt7LHzN9DwGj8A6mD2iONdGyPlIK6X7RpppSYK4MBrPyi4JM/fG2klahmkrMTeW5dYxUn9ACUviq1kE2mEcxTKOMJfH1EHpo2kIN+0j1czTTHs4ZAsEQOCkCUyqb9j7Lt0PKx+8y0AGbehJp51h1C/xHGDuXd/R07bXdPWdvI/T+gDLeByg8VRjy9U/WIZI+rs0eJQs6e0yo6Xre142E1Dg2OvzfGZd/g3g0K1NBQoHzpV1ZrpfofActa5tHZJEYxwTWtyadW5xsMov359oyAn1Stnca76huuXlYlP2xZ/8DWmxO+lXOjIPAiAwMQGYeyJgwUjZUnrIxcClt6ooMp9v54WL30wUCZ3wMHOPicouz76Ze6qxxqbT9yiCgLI7OLustqgpGnNMQDZlGWjuiQIkTUM9UIP62YN9nW1SUWhyjIOMCQ5xRmB6cEpzd6gTTZD1p9/xDYPj5dRDzT09LaNeJeYec++fKOYqoy8YeuxefxlHxJ9Zn840k52+0w9VtU1qjMw8TdxTIXkQAIFVEphU32jmQPL3HWbuFfpXbV82aeZe8yrny3hT/aUO0LrMPZ/GCwFYPys+7MvTPxRnCLYDzlGa3tlSWV5M0y9c4Jm5lza5pt8P3wKaeWPr1iZVS0tZ/bxi7omDkFZafOltlb9oK5qofru4Nevc4mCV32nuSeU182a/SqeeuafHrTwhw84xrgABEACBhgDMPSESfKKiNCoz9rc2MwOXJuhiMC1cLCbd5l5piYE0Wm2dlpvN3Iv3NuSV4RMH/LSyWgZ30/SdoibOtznTbqC5Z6bnmbkXjdS/vKHP8T6KxZF3zpTHJvu/mZYx2sr3ydll5p74YRTiZaKZe//0dfFAV/3IbBy3xXzxWbH7ir+4Hgcam3ubuVdqq+hSQQAEQGD/BI6ib4aae5pOUo01Xdtoy3I//WZ7M2cGhnaqpqWjCr8L+RdNCVM3yBpHNQurH7Jn5/1eySApb53Tm2uuU5CZYRgP8mYzrywzVUyrIxEd5mdphz3O3DM0Td+qo2du+H7g4/R7OnPSXrnjn7m3m16Zcs+9ctxa7XX/71ikCAIgsCwCMPek+lRGW9PlFGMNPGuqdvNi7/aQcOQl74Sik3fb8vGTzfzmXhjRYzMXW2GZnZabHAxiiRMfC3XZZs1mYFmDII6WWmtmbrbnHtvzLBYl5dl/TTn19HxLpzuxWp3qeh6fgGxxzI2h7ECNbimqlVZblmgfxYQfi9dmOUv/0TFo5l4xLSu2WDsS6r2nwtLqPpqij6WCuVcuo5VPqe59dVCcfRft45Lmz8oP49btudfs2SMvIVlWp4jSgAAIzIfAYfTNI4X9cuuSDzb3+plPejrGAE37s36gBtMRVR5/vKPXr/+YlZXOOGsur/4WTsuVfm+W/dbT1JoTdcMhY3RHL+2JubwP1fsHZZZcMU1mcgh1shXzEnJl9aOhzuITf/OVMt2Jwl1cBM0ppC/oYn3vNENL8e1zMg0jmUDl/nucZtDi1uJrmVRW+R0z91pTPd9zb3e9Ip2W232LSLEY7andtjBhv/O2zIW45d9qZuPGBSAAAiDACMDcU0Ii3QMvngnWdDjsfLJ2ptjLuN/+918touqVF8mss+b/el6a3+NOSBcSaUc5xNzrxW5cauGkt2zqfjgtt1rK2hYuW/YXOvioIjrjrSwOvGUNGxw3ub+hh8LJp/2MP1bPyb6LA2fuNQDT2OD7OArLHqTyheWgyQdEI9UbAzEEURNIThHOOZfSCmWPT2pNZwzE8Xpxd0fn22d61548PcjcY7GfpmWZVGGmY2hXN/RQzXisDjlWPkx64ZubseleN2mbLJdxWD75jFO5Pu009Tqw7w0fdU0o5XsM2TGGfhYEQAAE9kPgIPpGWMbH38WuGV6ldGpDINJQ2am2uZ7Ll26m5g3XhnKf36SbbSXB9QHPH18GnP3e1m9XjoJu0Gb2WWkmPKO+qHgfFXR4ZVKm/ziXdLk0L5PRHwonIFvmXnrqPZ99GetGrl0VfSwys/t9VTMU43a8fu9jW9OSHnOP67z96RV5r8+gJ4XndOZe4Rvx73/Td0AIxa4NcXN2P+9QpAICILAuAjD3FlDf0mlyCygWijBLAtoI/Cwzi0yBAAiAAAicMIG16Rtvef0HThy/8tWTfI+ftWlzUFyuvHYtNe/ye9vhtAGE1EEABEBgOAGYe8OZze4OdEKzq5IFZ2jegmzB4FE0EAABEFgdgbXpG2958xlh1jLJY4XOejVDvPQ5p79eLg2LeZff2w6P1arwXBAAARDQCMDcW0BsoBNaQCWeTBHmLchOBiMyCgIgAAIgYBJYm77xlzdfEqmdwGtCxgVHILB2LTXv8vvb4RFCB48EARAAgQIBmHsLCA90QguoRBQBBEAABEAABEAgIbA2fbO28iLcQWCOBNAO51gryBMIgICHQGfueS7GNSAAAiAAAiAAAiAAAiAAAiAAAiAAAiAAAiAAAvMi8P9COXZnos4P8gAAAABJRU5ErkJggg=="/>
        <xdr:cNvSpPr>
          <a:spLocks noChangeAspect="1" noChangeArrowheads="1"/>
        </xdr:cNvSpPr>
      </xdr:nvSpPr>
      <xdr:spPr bwMode="auto">
        <a:xfrm>
          <a:off x="18897600" y="152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18</xdr:col>
      <xdr:colOff>238125</xdr:colOff>
      <xdr:row>3</xdr:row>
      <xdr:rowOff>123825</xdr:rowOff>
    </xdr:from>
    <xdr:to>
      <xdr:col>35</xdr:col>
      <xdr:colOff>361950</xdr:colOff>
      <xdr:row>12</xdr:row>
      <xdr:rowOff>133350</xdr:rowOff>
    </xdr:to>
    <xdr:pic>
      <xdr:nvPicPr>
        <xdr:cNvPr id="3" name="Imagem 2" descr="https://attachments.office.net/owa/rodrigo.taveira%40rodest.pt/service.svc/s/GetAttachmentThumbnail?id=AAMkADE1MjMzNTg1LTZiYjAtNDcwMS05NzY2LTk3YWM0MzIzZDRhMgBGAAAAAADsQ45qKsQhR4hw%2B8uHGenpBwD1b8eOnei0SLZFwk%2B3KWnTAAAAAAEJAAD1b8eOnei0SLZFwk%2B3KWnTAAiCHYHfAAABEgAQAGI0qhC0N3xNkjCCC4WgMYw%3D&amp;thumbnailType=2&amp;token=eyJhbGciOiJSUzI1NiIsImtpZCI6IkU1RDJGMEY4REE5M0I2NzA5QzQzQTlFOEE2MTQzQzAzRDYyRjlBODAiLCJ0eXAiOiJKV1QiLCJ4NXQiOiI1ZEx3LU5xVHRuQ2NRNm5vcGhROEE5WXZtb0EifQ.eyJvcmlnaW4iOiJodHRwczovL291dGxvb2sub2ZmaWNlLmNvbSIsInVjIjoiZTMzMTYxNDA5ZmExNDA2MWJkMjg1NWY2ODQ4MTFkZmIiLCJzaWduaW5fc3RhdGUiOiJrbXNpIiwidmVyIjoiRXhjaGFuZ2UuQ2FsbGJhY2suVjEiLCJhcHBjdHhzZW5kZXIiOiJPd2FEb3dubG9hZEA1YTNhZGVlYS04MDJkLTRlZDYtYTE4MS03YmE0NTQ5YWMyYTMiLCJpc3NyaW5nIjoiV1ciLCJhcHBjdHgiOiJ7XCJtc2V4Y2hwcm90XCI6XCJvd2FcIixcInB1aWRcIjpcIjExNTM5MDY2NjA4MjMwMzY1MDdcIixcInNjb3BlXCI6XCJPd2FEb3dubG9hZFwiLFwib2lkXCI6XCJkYjkzNjRkYS0xN2FkLTRkZjEtOWFlYy0wZjMyMjkzYWU5NzhcIixcInByaW1hcnlzaWRcIjpcIlMtMS01LTIxLTE3ODU3MzYyOTUtMzI2NzIwMzQyNi0zMTIxMzg4Njg3LTk4NDc1NzNcIn0iLCJuYmYiOjE3MTU5NTA2NzUsImV4cCI6MTcxNTk1MDk3NSwiaXNzIjoiMDAwMDAwMDItMDAwMC0wZmYxLWNlMDAtMDAwMDAwMDAwMDAwQDVhM2FkZWVhLTgwMmQtNGVkNi1hMTgxLTdiYTQ1NDlhYzJhMyIsImF1ZCI6IjAwMDAwMDAyLTAwMDAtMGZmMS1jZTAwLTAwMDAwMDAwMDAwMC9hdHRhY2htZW50cy5vZmZpY2UubmV0QDVhM2FkZWVhLTgwMmQtNGVkNi1hMTgxLTdiYTQ1NDlhYzJhMyIsImhhcHAiOiJvd2EifQ.Nnl-yYhi-wCNe7MjxfIL8v02LZhZsMCevKdZiSnlx-7keEYVzA0X6qvgM5U8iws7Q4kJIt2bgzKO89s_EXdzmSGaqiH6nMlvUYnFbD8JYH4eU02nivYU5EWwFH7XX_dHqUSVv3gAzH2lLXDUIp5VudkFB2gYYYjlitEAy7EDavLpWqo38bOAqVGcNtdRkEWBxHhKn49CV5SR_uFpUpL-JLZz3w9W32fv_GysYkXFHF_6SNerx5lZ0kM-HsDkk6kXUnNloR8O6ULhvGm0M5sG5CBFT2RhIPCMXs8rNnQG6-UEsS06G90i5HEf31SBSUf44K-f8IKPvcR7X7ANSbKyiw&amp;X-OWA-CANARY=X-OWA-CANARY_cookie_is_null_or_empty&amp;owa=outlook.office.com&amp;scriptVer=20240419007.32&amp;clientId=9DCFB86A9EA14397A42E9CD58BF4A45A&amp;animation=true&amp;persistenceId=e0f8ced7-05d4-458d-b5cf-26ef30c2582d"/>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01325" y="504825"/>
          <a:ext cx="12106275" cy="1724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29</xdr:col>
      <xdr:colOff>514349</xdr:colOff>
      <xdr:row>0</xdr:row>
      <xdr:rowOff>152400</xdr:rowOff>
    </xdr:from>
    <xdr:to>
      <xdr:col>52</xdr:col>
      <xdr:colOff>504824</xdr:colOff>
      <xdr:row>64</xdr:row>
      <xdr:rowOff>680</xdr:rowOff>
    </xdr:to>
    <xdr:pic>
      <xdr:nvPicPr>
        <xdr:cNvPr id="2" name="Imagem 1"/>
        <xdr:cNvPicPr>
          <a:picLocks noChangeAspect="1"/>
        </xdr:cNvPicPr>
      </xdr:nvPicPr>
      <xdr:blipFill>
        <a:blip xmlns:r="http://schemas.openxmlformats.org/officeDocument/2006/relationships" r:embed="rId1"/>
        <a:stretch>
          <a:fillRect/>
        </a:stretch>
      </xdr:blipFill>
      <xdr:spPr>
        <a:xfrm>
          <a:off x="26784299" y="152400"/>
          <a:ext cx="14087475" cy="123136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IPC/Downloads/calculadora-gee-para-projetos-v1-2024_05_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ção"/>
      <sheetName val="Instruções"/>
      <sheetName val="Conteúdos"/>
      <sheetName val="Triagem"/>
      <sheetName val="Dados gerais"/>
      <sheetName val="Combustão Estacionária"/>
      <sheetName val="FACE"/>
      <sheetName val="Categoria 3"/>
      <sheetName val="Combustão Móvel"/>
      <sheetName val="FACM"/>
      <sheetName val="Emissões Fugitivas"/>
      <sheetName val="FAEF"/>
      <sheetName val="Processos Industriais"/>
      <sheetName val="FAEI"/>
      <sheetName val="Outras emissões de processo"/>
      <sheetName val="FAOEP"/>
      <sheetName val="FAAS"/>
      <sheetName val="Energia Elétrica e térmica"/>
      <sheetName val="FAEE"/>
      <sheetName val="Emissões Evitadas"/>
      <sheetName val="FAEV"/>
      <sheetName val="Aquisição de bens e serviços"/>
      <sheetName val="FABCC"/>
      <sheetName val="Uso dos produtos do projeto"/>
      <sheetName val="FAPr"/>
      <sheetName val="FAPCT"/>
      <sheetName val="Resultados"/>
      <sheetName val="Fatores de Emissão"/>
      <sheetName val="Fatores de Conversão"/>
      <sheetName val="Ficha técnic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248">
          <cell r="E248">
            <v>28</v>
          </cell>
        </row>
        <row r="249">
          <cell r="E249">
            <v>265</v>
          </cell>
        </row>
      </sheetData>
      <sheetData sheetId="28"/>
      <sheetData sheetId="29"/>
    </sheetDataSet>
  </externalBook>
</externalLink>
</file>

<file path=xl/tables/table1.xml><?xml version="1.0" encoding="utf-8"?>
<table xmlns="http://schemas.openxmlformats.org/spreadsheetml/2006/main" id="1" name="Tabela1" displayName="Tabela1" ref="A1:N12" totalsRowShown="0" headerRowDxfId="32" dataDxfId="31">
  <autoFilter ref="A1:N12"/>
  <tableColumns count="14">
    <tableColumn id="1" name="Fuel" dataDxfId="30"/>
    <tableColumn id="2" name="Energia (MJ/kg)" dataDxfId="29"/>
    <tableColumn id="3" name="Densidade (kg/m3)" dataDxfId="28"/>
    <tableColumn id="4" name="Qtd." dataDxfId="27"/>
    <tableColumn id="5" name="Densidade kg/Qtd." dataDxfId="26">
      <calculatedColumnFormula>Tabela1[[#This Row],[Densidade (kg/m3)]]/1000</calculatedColumnFormula>
    </tableColumn>
    <tableColumn id="6" name="Energia (MJ/Qtd.)" dataDxfId="25">
      <calculatedColumnFormula>Tabela1[[#This Row],[Densidade kg/Qtd.]]*Tabela1[[#This Row],[Energia (MJ/kg)]]</calculatedColumnFormula>
    </tableColumn>
    <tableColumn id="11" name="Energia (GJ/Qtd.)2" dataDxfId="24">
      <calculatedColumnFormula>Tabela1[[#This Row],[Energia (MJ/Qtd.)]]/1000</calculatedColumnFormula>
    </tableColumn>
    <tableColumn id="14" name="Energia (tep/Qtd.)" dataDxfId="23">
      <calculatedColumnFormula>Tabela1[[#This Row],[Energia (kWh/Qtd.)]]/11630</calculatedColumnFormula>
    </tableColumn>
    <tableColumn id="13" name="Energia (kWh/Qtd.)" dataDxfId="22">
      <calculatedColumnFormula>Tabela1[[#This Row],[Energia (MJ/Qtd.)]]/3.6</calculatedColumnFormula>
    </tableColumn>
    <tableColumn id="7" name="H:C Ratio" dataDxfId="21"/>
    <tableColumn id="8" name="O:C Ratio" dataDxfId="20"/>
    <tableColumn id="9" name="FO" dataDxfId="19" dataCellStyle="Percentagem"/>
    <tableColumn id="10" name="Nota" dataDxfId="18"/>
    <tableColumn id="15" name="Idx" dataDxfId="17">
      <calculatedColumnFormula>"APA NIR 2023: "&amp;Tabela1[[#This Row],[Fuel]]&amp;": "&amp;Tabela1[[#This Row],[Qtd.]]</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3" name="Tabela3" displayName="Tabela3" ref="Z1:AB928" totalsRowShown="0">
  <autoFilter ref="Z1:AB928"/>
  <sortState ref="Z563:AB742">
    <sortCondition descending="1" ref="Z1:Z927"/>
  </sortState>
  <tableColumns count="3">
    <tableColumn id="1" name="Year:year"/>
    <tableColumn id="2" name="Member State:text"/>
    <tableColumn id="4" name="Greenhouse gas (GHG) emission intensity:number2"/>
  </tableColumns>
  <tableStyleInfo name="TableStyleMedium2" showFirstColumn="0" showLastColumn="0" showRowStripes="1" showColumnStripes="0"/>
</table>
</file>

<file path=xl/tables/table3.xml><?xml version="1.0" encoding="utf-8"?>
<table xmlns="http://schemas.openxmlformats.org/spreadsheetml/2006/main" id="2" name="FE_Energia_EEA3" displayName="FE_Energia_EEA3" ref="A1:C34" totalsRowShown="0" headerRowDxfId="16" dataDxfId="15">
  <autoFilter ref="A1:C34"/>
  <tableColumns count="3">
    <tableColumn id="1" name="Year" dataDxfId="14"/>
    <tableColumn id="2" name="Member State" dataDxfId="13"/>
    <tableColumn id="3" name="Greenhouse gas (GHG) emission intensity (gCO2e/kWh)" dataDxfId="12"/>
  </tableColumns>
  <tableStyleInfo name="TableStyleMedium2"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customProperty" Target="../customProperty10.bin"/></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1" Type="http://schemas.openxmlformats.org/officeDocument/2006/relationships/customProperty" Target="../customProperty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1" Type="http://schemas.openxmlformats.org/officeDocument/2006/relationships/customProperty" Target="../customProperty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16.bin"/><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17.xml.rels><?xml version="1.0" encoding="UTF-8" standalone="yes"?>
<Relationships xmlns="http://schemas.openxmlformats.org/package/2006/relationships"><Relationship Id="rId1" Type="http://schemas.openxmlformats.org/officeDocument/2006/relationships/customProperty" Target="../customProperty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1" Type="http://schemas.openxmlformats.org/officeDocument/2006/relationships/customProperty" Target="../customProperty19.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20.xml.rels><?xml version="1.0" encoding="UTF-8" standalone="yes"?>
<Relationships xmlns="http://schemas.openxmlformats.org/package/2006/relationships"><Relationship Id="rId1" Type="http://schemas.openxmlformats.org/officeDocument/2006/relationships/customProperty" Target="../customProperty20.bin"/></Relationships>
</file>

<file path=xl/worksheets/_rels/sheet21.xml.rels><?xml version="1.0" encoding="UTF-8" standalone="yes"?>
<Relationships xmlns="http://schemas.openxmlformats.org/package/2006/relationships"><Relationship Id="rId1" Type="http://schemas.openxmlformats.org/officeDocument/2006/relationships/customProperty" Target="../customProperty21.bin"/></Relationships>
</file>

<file path=xl/worksheets/_rels/sheet22.xml.rels><?xml version="1.0" encoding="UTF-8" standalone="yes"?>
<Relationships xmlns="http://schemas.openxmlformats.org/package/2006/relationships"><Relationship Id="rId1" Type="http://schemas.openxmlformats.org/officeDocument/2006/relationships/customProperty" Target="../customProperty22.bin"/></Relationships>
</file>

<file path=xl/worksheets/_rels/sheet23.xml.rels><?xml version="1.0" encoding="UTF-8" standalone="yes"?>
<Relationships xmlns="http://schemas.openxmlformats.org/package/2006/relationships"><Relationship Id="rId1" Type="http://schemas.openxmlformats.org/officeDocument/2006/relationships/customProperty" Target="../customProperty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customProperty" Target="../customProperty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25.bin"/></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6.bin"/><Relationship Id="rId1" Type="http://schemas.openxmlformats.org/officeDocument/2006/relationships/printerSettings" Target="../printerSettings/printerSettings4.bin"/><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27.xml.rels><?xml version="1.0" encoding="UTF-8" standalone="yes"?>
<Relationships xmlns="http://schemas.openxmlformats.org/package/2006/relationships"><Relationship Id="rId1" Type="http://schemas.openxmlformats.org/officeDocument/2006/relationships/customProperty" Target="../customProperty27.bin"/></Relationships>
</file>

<file path=xl/worksheets/_rels/sheet28.xml.rels><?xml version="1.0" encoding="UTF-8" standalone="yes"?>
<Relationships xmlns="http://schemas.openxmlformats.org/package/2006/relationships"><Relationship Id="rId1" Type="http://schemas.openxmlformats.org/officeDocument/2006/relationships/customProperty" Target="../customProperty28.bin"/></Relationships>
</file>

<file path=xl/worksheets/_rels/sheet29.xml.rels><?xml version="1.0" encoding="UTF-8" standalone="yes"?>
<Relationships xmlns="http://schemas.openxmlformats.org/package/2006/relationships"><Relationship Id="rId1" Type="http://schemas.openxmlformats.org/officeDocument/2006/relationships/customProperty" Target="../customProperty29.bin"/></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customProperty" Target="../customProperty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
  <dimension ref="A1:AL137"/>
  <sheetViews>
    <sheetView topLeftCell="F4" workbookViewId="0">
      <selection activeCell="P10" sqref="P10"/>
    </sheetView>
  </sheetViews>
  <sheetFormatPr defaultRowHeight="15" x14ac:dyDescent="0.25"/>
  <cols>
    <col min="1" max="1" width="30.140625" customWidth="1"/>
    <col min="2" max="2" width="15.140625" customWidth="1"/>
    <col min="3" max="3" width="19.85546875" customWidth="1"/>
    <col min="4" max="4" width="13.85546875" customWidth="1"/>
    <col min="5" max="5" width="52" customWidth="1"/>
    <col min="6" max="6" width="11.85546875" customWidth="1"/>
    <col min="7" max="7" width="9.140625" customWidth="1"/>
    <col min="8" max="8" width="15.7109375" style="13" customWidth="1"/>
    <col min="9" max="14" width="15.140625" customWidth="1"/>
    <col min="15" max="17" width="13.28515625" style="13" customWidth="1"/>
    <col min="18" max="23" width="12.42578125" customWidth="1"/>
    <col min="24" max="26" width="13.85546875" style="13" customWidth="1"/>
    <col min="27" max="32" width="11.5703125" style="13" customWidth="1"/>
    <col min="33" max="35" width="12.85546875" style="13" customWidth="1"/>
    <col min="36" max="36" width="9.140625" style="13"/>
    <col min="37" max="37" width="12.7109375" bestFit="1" customWidth="1"/>
    <col min="38" max="38" width="16.85546875" customWidth="1"/>
  </cols>
  <sheetData>
    <row r="1" spans="1:38" ht="75.75" customHeight="1" thickBot="1" x14ac:dyDescent="0.3">
      <c r="A1" s="2" t="s">
        <v>11</v>
      </c>
      <c r="B1" s="2" t="s">
        <v>12</v>
      </c>
      <c r="C1" s="1" t="s">
        <v>0</v>
      </c>
      <c r="D1" s="3" t="s">
        <v>1</v>
      </c>
      <c r="E1" s="3" t="s">
        <v>511</v>
      </c>
      <c r="F1" s="3" t="s">
        <v>53</v>
      </c>
      <c r="G1" s="3" t="s">
        <v>54</v>
      </c>
      <c r="H1" s="12" t="s">
        <v>60</v>
      </c>
      <c r="I1" s="14" t="s">
        <v>64</v>
      </c>
      <c r="J1" s="14" t="s">
        <v>63</v>
      </c>
      <c r="K1" s="14" t="s">
        <v>61</v>
      </c>
      <c r="L1" s="14" t="s">
        <v>65</v>
      </c>
      <c r="M1" s="14" t="s">
        <v>62</v>
      </c>
      <c r="N1" s="14" t="s">
        <v>65</v>
      </c>
      <c r="O1" s="12" t="s">
        <v>47</v>
      </c>
      <c r="P1" s="12" t="s">
        <v>48</v>
      </c>
      <c r="Q1" s="12" t="s">
        <v>99</v>
      </c>
      <c r="R1" s="14" t="s">
        <v>66</v>
      </c>
      <c r="S1" s="14" t="s">
        <v>69</v>
      </c>
      <c r="T1" s="14" t="s">
        <v>67</v>
      </c>
      <c r="U1" s="14" t="s">
        <v>70</v>
      </c>
      <c r="V1" s="14" t="s">
        <v>68</v>
      </c>
      <c r="W1" s="14" t="s">
        <v>71</v>
      </c>
      <c r="X1" s="12" t="s">
        <v>49</v>
      </c>
      <c r="Y1" s="12" t="s">
        <v>50</v>
      </c>
      <c r="Z1" s="12" t="s">
        <v>100</v>
      </c>
      <c r="AA1" s="15" t="s">
        <v>72</v>
      </c>
      <c r="AB1" s="15" t="s">
        <v>75</v>
      </c>
      <c r="AC1" s="15" t="s">
        <v>73</v>
      </c>
      <c r="AD1" s="15" t="s">
        <v>76</v>
      </c>
      <c r="AE1" s="15" t="s">
        <v>74</v>
      </c>
      <c r="AF1" s="15" t="s">
        <v>77</v>
      </c>
      <c r="AG1" s="12" t="s">
        <v>51</v>
      </c>
      <c r="AH1" s="12" t="s">
        <v>52</v>
      </c>
      <c r="AI1" s="12" t="s">
        <v>101</v>
      </c>
      <c r="AJ1" s="210" t="s">
        <v>98</v>
      </c>
      <c r="AK1" s="221" t="s">
        <v>415</v>
      </c>
      <c r="AL1" s="221" t="s">
        <v>789</v>
      </c>
    </row>
    <row r="2" spans="1:38" ht="15.75" thickBot="1" x14ac:dyDescent="0.3">
      <c r="A2" s="4" t="s">
        <v>2</v>
      </c>
      <c r="B2" s="7" t="s">
        <v>13</v>
      </c>
      <c r="C2" s="5" t="s">
        <v>3</v>
      </c>
      <c r="D2" s="6" t="s">
        <v>8</v>
      </c>
      <c r="E2" s="6" t="str">
        <f>A2&amp;": "&amp;B2&amp;" : "&amp;C2&amp;" : "&amp;D2</f>
        <v>Pesado de Passageiros M3: I : Gasóleo : E0</v>
      </c>
      <c r="F2" s="6" t="s">
        <v>55</v>
      </c>
      <c r="G2" s="6" t="s">
        <v>96</v>
      </c>
      <c r="H2" s="9">
        <f>IF(G2="MJ",INDEX(Tabela1[Energia (MJ/Qtd.)],MATCH(C2,Tabela1[Fuel],0)),IF(G2="GJ",INDEX(Tabela1[Energia (GJ/Qtd.)2],MATCH(C2,Tabela1[Fuel],0)),"XXX"))</f>
        <v>3.5868000000000004E-2</v>
      </c>
      <c r="I2" s="9">
        <f>O2*'PAG100 FE GE'!$E$2+P2*'PAG100 FE GE'!$E$3+Q2*'PAG100 FE GE'!$E$4</f>
        <v>69700.786000000007</v>
      </c>
      <c r="J2" s="9">
        <f>O2*'PAG20 FE GE'!$E$2+P2*'PAG20 FE GE'!$E$3+Q2*'PAG20 FE GE'!$E$4</f>
        <v>70107.998000000007</v>
      </c>
      <c r="K2" s="9">
        <f>O2*'PAG100 FE GE'!$D$2+P2*'PAG100 FE GE'!$D$3+Q2*'PAG100 FE GE'!$D$4</f>
        <v>69691.069999999992</v>
      </c>
      <c r="L2" s="9">
        <f>O2*'PAG20 FE GE'!$D$2+P2*'PAG20 FE GE'!$D$3+Q2*'PAG20 FE GE'!$D$4</f>
        <v>70125.239999999991</v>
      </c>
      <c r="M2" s="9">
        <f>O2*'PAG100 FE GE'!$C$2+P2*'PAG100 FE GE'!$C$3+Q2*'PAG100 FE GE'!$C$4</f>
        <v>69711.38</v>
      </c>
      <c r="N2" s="9">
        <f>O2*'PAG20 FE GE'!$C$2+P2*'PAG20 FE GE'!$C$3+Q2*'PAG20 FE GE'!$C$4</f>
        <v>70058.67</v>
      </c>
      <c r="O2" s="9">
        <f>69.13*1000</f>
        <v>69130</v>
      </c>
      <c r="P2" s="9">
        <f>0.00764*1000</f>
        <v>7.64</v>
      </c>
      <c r="Q2" s="9">
        <f>0.00131*1000</f>
        <v>1.31</v>
      </c>
      <c r="R2" s="9">
        <f>X2*'PAG100 FE GE'!$E$2+Y2*'PAG100 FE GE'!$E$3+Z2*'PAG100 FE GE'!$E$4</f>
        <v>2500.0277922480004</v>
      </c>
      <c r="S2" s="9">
        <f>X2*'PAG20 FE GE'!$E$2+Y2*'PAG20 FE GE'!$E$3+Z2*'PAG20 FE GE'!$E$4</f>
        <v>2514.6336722640003</v>
      </c>
      <c r="T2" s="9">
        <f>X2*'PAG100 FE GE'!$D$2+Y2*'PAG100 FE GE'!$D$3+Z2*'PAG100 FE GE'!$D$4</f>
        <v>2499.6792987600002</v>
      </c>
      <c r="U2" s="9">
        <f>X2*'PAG20 FE GE'!$D$2+Y2*'PAG20 FE GE'!$D$3+Z2*'PAG20 FE GE'!$D$4</f>
        <v>2515.2521083199999</v>
      </c>
      <c r="V2" s="9">
        <f>X2*'PAG100 FE GE'!$C$2+Y2*'PAG100 FE GE'!$C$3+Z2*'PAG100 FE GE'!$C$4</f>
        <v>2500.4077778400006</v>
      </c>
      <c r="W2" s="9">
        <f>X2*'PAG20 FE GE'!$C$2+Y2*'PAG20 FE GE'!$C$3+Z2*'PAG20 FE GE'!$C$4</f>
        <v>2512.8643755600001</v>
      </c>
      <c r="X2" s="9">
        <f>O2*$H2</f>
        <v>2479.5548400000002</v>
      </c>
      <c r="Y2" s="9">
        <f>P2*$H2</f>
        <v>0.27403152000000003</v>
      </c>
      <c r="Z2" s="9">
        <f>Q2*$H2</f>
        <v>4.6987080000000007E-2</v>
      </c>
      <c r="AA2" s="9">
        <f>AG2*'PAG100 FE GE'!$E$2+AH2*'PAG100 FE GE'!$E$3+AI2*'PAG100 FE GE'!$E$4</f>
        <v>1595.9925000000001</v>
      </c>
      <c r="AB2" s="9">
        <f>AG2*'PAG20 FE GE'!$E$2+AH2*'PAG20 FE GE'!$E$3+AI2*'PAG20 FE GE'!$E$4</f>
        <v>1605.3200000000002</v>
      </c>
      <c r="AC2" s="9">
        <f>AG2*'PAG100 FE GE'!$D$2+AH2*'PAG100 FE GE'!$D$3+AI2*'PAG100 FE GE'!$D$4</f>
        <v>1595.7700000000002</v>
      </c>
      <c r="AD2" s="9">
        <f>AG2*'PAG20 FE GE'!$D$2+AH2*'PAG20 FE GE'!$D$3+AI2*'PAG20 FE GE'!$D$4</f>
        <v>1605.7150000000001</v>
      </c>
      <c r="AE2" s="9">
        <f>AG2*'PAG100 FE GE'!$C$2+AH2*'PAG100 FE GE'!$C$3+AI2*'PAG100 FE GE'!$C$4</f>
        <v>1596.2350000000001</v>
      </c>
      <c r="AF2" s="9">
        <f>AG2*'PAG20 FE GE'!$C$2+AH2*'PAG20 FE GE'!$C$3+AI2*'PAG20 FE GE'!$C$4</f>
        <v>1604.19</v>
      </c>
      <c r="AG2" s="9">
        <v>1582.92</v>
      </c>
      <c r="AH2" s="9">
        <v>0.17499999999999999</v>
      </c>
      <c r="AI2" s="9">
        <v>0.03</v>
      </c>
      <c r="AJ2" s="13">
        <f t="shared" ref="AJ2:AJ9" si="0">AG2/X2*100</f>
        <v>63.838878433517522</v>
      </c>
      <c r="AK2" t="s">
        <v>424</v>
      </c>
      <c r="AL2" t="s">
        <v>790</v>
      </c>
    </row>
    <row r="3" spans="1:38" ht="15.75" thickBot="1" x14ac:dyDescent="0.3">
      <c r="A3" s="4" t="s">
        <v>2</v>
      </c>
      <c r="B3" s="7" t="s">
        <v>13</v>
      </c>
      <c r="C3" s="5" t="s">
        <v>3</v>
      </c>
      <c r="D3" s="6" t="s">
        <v>7</v>
      </c>
      <c r="E3" s="6" t="str">
        <f t="shared" ref="E3:E66" si="1">A3&amp;": "&amp;B3&amp;" : "&amp;C3&amp;" : "&amp;D3</f>
        <v>Pesado de Passageiros M3: I : Gasóleo : E1</v>
      </c>
      <c r="F3" s="6" t="s">
        <v>55</v>
      </c>
      <c r="G3" s="6" t="s">
        <v>96</v>
      </c>
      <c r="H3" s="9">
        <f>IF(G3="MJ",INDEX(Tabela1[Energia (MJ/Qtd.)],MATCH(C3,Tabela1[Fuel],0)),IF(G3="GJ",INDEX(Tabela1[Energia (GJ/Qtd.)2],MATCH(C3,Tabela1[Fuel],0)),"XXX"))</f>
        <v>3.5868000000000004E-2</v>
      </c>
      <c r="I3" s="9">
        <f>O3*'PAG100 FE GE'!$E$2+P3*'PAG100 FE GE'!$E$3+Q3*'PAG100 FE GE'!$E$4</f>
        <v>69546.251000000004</v>
      </c>
      <c r="J3" s="9">
        <f>O3*'PAG20 FE GE'!$E$2+P3*'PAG20 FE GE'!$E$3+Q3*'PAG20 FE GE'!$E$4</f>
        <v>70009.428</v>
      </c>
      <c r="K3" s="9">
        <f>O3*'PAG100 FE GE'!$D$2+P3*'PAG100 FE GE'!$D$3+Q3*'PAG100 FE GE'!$D$4</f>
        <v>69542.320000000007</v>
      </c>
      <c r="L3" s="9">
        <f>O3*'PAG20 FE GE'!$D$2+P3*'PAG20 FE GE'!$D$3+Q3*'PAG20 FE GE'!$D$4</f>
        <v>70037.049999999988</v>
      </c>
      <c r="M3" s="9">
        <f>O3*'PAG100 FE GE'!$C$2+P3*'PAG100 FE GE'!$C$3+Q3*'PAG100 FE GE'!$C$4</f>
        <v>69536.05</v>
      </c>
      <c r="N3" s="9">
        <f>O3*'PAG20 FE GE'!$C$2+P3*'PAG20 FE GE'!$C$3+Q3*'PAG20 FE GE'!$C$4</f>
        <v>69939.079999999987</v>
      </c>
      <c r="O3" s="9">
        <f>69.14*1000</f>
        <v>69140</v>
      </c>
      <c r="P3" s="9">
        <f>0.00869*1000</f>
        <v>8.69</v>
      </c>
      <c r="Q3" s="9">
        <f>0.0006*1000</f>
        <v>0.6</v>
      </c>
      <c r="R3" s="9">
        <f>X3*'PAG100 FE GE'!$E$2+Y3*'PAG100 FE GE'!$E$3+Z3*'PAG100 FE GE'!$E$4</f>
        <v>2494.484930868</v>
      </c>
      <c r="S3" s="9">
        <f>X3*'PAG20 FE GE'!$E$2+Y3*'PAG20 FE GE'!$E$3+Z3*'PAG20 FE GE'!$E$4</f>
        <v>2511.0981635040002</v>
      </c>
      <c r="T3" s="9">
        <f>X3*'PAG100 FE GE'!$D$2+Y3*'PAG100 FE GE'!$D$3+Z3*'PAG100 FE GE'!$D$4</f>
        <v>2494.3439337599998</v>
      </c>
      <c r="U3" s="9">
        <f>X3*'PAG20 FE GE'!$D$2+Y3*'PAG20 FE GE'!$D$3+Z3*'PAG20 FE GE'!$D$4</f>
        <v>2512.0889093999999</v>
      </c>
      <c r="V3" s="9">
        <f>X3*'PAG100 FE GE'!$C$2+Y3*'PAG100 FE GE'!$C$3+Z3*'PAG100 FE GE'!$C$4</f>
        <v>2494.1190414000002</v>
      </c>
      <c r="W3" s="9">
        <f>X3*'PAG20 FE GE'!$C$2+Y3*'PAG20 FE GE'!$C$3+Z3*'PAG20 FE GE'!$C$4</f>
        <v>2508.5749214399998</v>
      </c>
      <c r="X3" s="9">
        <f t="shared" ref="X3:X9" si="2">O3*$H3</f>
        <v>2479.9135200000001</v>
      </c>
      <c r="Y3" s="9">
        <f t="shared" ref="Y3:Y9" si="3">P3*$H3</f>
        <v>0.31169292000000004</v>
      </c>
      <c r="Z3" s="9">
        <f t="shared" ref="Z3:Z9" si="4">Q3*$H3</f>
        <v>2.1520800000000003E-2</v>
      </c>
      <c r="AA3" s="9">
        <f>AG3*'PAG100 FE GE'!$E$2+AH3*'PAG100 FE GE'!$E$3+AI3*'PAG100 FE GE'!$E$4</f>
        <v>1400.6285</v>
      </c>
      <c r="AB3" s="9">
        <f>AG3*'PAG20 FE GE'!$E$2+AH3*'PAG20 FE GE'!$E$3+AI3*'PAG20 FE GE'!$E$4</f>
        <v>1409.9560000000001</v>
      </c>
      <c r="AC3" s="9">
        <f>AG3*'PAG100 FE GE'!$D$2+AH3*'PAG100 FE GE'!$D$3+AI3*'PAG100 FE GE'!$D$4</f>
        <v>1400.5500000000002</v>
      </c>
      <c r="AD3" s="9">
        <f>AG3*'PAG20 FE GE'!$D$2+AH3*'PAG20 FE GE'!$D$3+AI3*'PAG20 FE GE'!$D$4</f>
        <v>1410.5129999999999</v>
      </c>
      <c r="AE3" s="9">
        <f>AG3*'PAG100 FE GE'!$C$2+AH3*'PAG100 FE GE'!$C$3+AI3*'PAG100 FE GE'!$C$4</f>
        <v>1400.421</v>
      </c>
      <c r="AF3" s="9">
        <f>AG3*'PAG20 FE GE'!$C$2+AH3*'PAG20 FE GE'!$C$3+AI3*'PAG20 FE GE'!$C$4</f>
        <v>1408.538</v>
      </c>
      <c r="AG3" s="9">
        <v>1392.47</v>
      </c>
      <c r="AH3" s="9">
        <v>0.17499999999999999</v>
      </c>
      <c r="AI3" s="9">
        <v>1.2E-2</v>
      </c>
      <c r="AJ3" s="13">
        <f t="shared" si="0"/>
        <v>56.149941873779532</v>
      </c>
      <c r="AK3" t="s">
        <v>424</v>
      </c>
      <c r="AL3" t="s">
        <v>790</v>
      </c>
    </row>
    <row r="4" spans="1:38" ht="15.75" thickBot="1" x14ac:dyDescent="0.3">
      <c r="A4" s="4" t="s">
        <v>2</v>
      </c>
      <c r="B4" s="7" t="s">
        <v>13</v>
      </c>
      <c r="C4" s="5" t="s">
        <v>3</v>
      </c>
      <c r="D4" s="6" t="s">
        <v>9</v>
      </c>
      <c r="E4" s="6" t="str">
        <f t="shared" si="1"/>
        <v>Pesado de Passageiros M3: I : Gasóleo : E2</v>
      </c>
      <c r="F4" s="6" t="s">
        <v>55</v>
      </c>
      <c r="G4" s="6" t="s">
        <v>96</v>
      </c>
      <c r="H4" s="9">
        <f>IF(G4="MJ",INDEX(Tabela1[Energia (MJ/Qtd.)],MATCH(C4,Tabela1[Fuel],0)),IF(G4="GJ",INDEX(Tabela1[Energia (GJ/Qtd.)2],MATCH(C4,Tabela1[Fuel],0)),"XXX"))</f>
        <v>3.5868000000000004E-2</v>
      </c>
      <c r="I4" s="9">
        <f>O4*'PAG100 FE GE'!$E$2+P4*'PAG100 FE GE'!$E$3+Q4*'PAG100 FE GE'!$E$4</f>
        <v>69487.99500000001</v>
      </c>
      <c r="J4" s="9">
        <f>O4*'PAG20 FE GE'!$E$2+P4*'PAG20 FE GE'!$E$3+Q4*'PAG20 FE GE'!$E$4</f>
        <v>69805.13</v>
      </c>
      <c r="K4" s="9">
        <f>O4*'PAG100 FE GE'!$D$2+P4*'PAG100 FE GE'!$D$3+Q4*'PAG100 FE GE'!$D$4</f>
        <v>69483.55</v>
      </c>
      <c r="L4" s="9">
        <f>O4*'PAG20 FE GE'!$D$2+P4*'PAG20 FE GE'!$D$3+Q4*'PAG20 FE GE'!$D$4</f>
        <v>69822.070000000007</v>
      </c>
      <c r="M4" s="9">
        <f>O4*'PAG100 FE GE'!$C$2+P4*'PAG100 FE GE'!$C$3+Q4*'PAG100 FE GE'!$C$4</f>
        <v>69486.490000000005</v>
      </c>
      <c r="N4" s="9">
        <f>O4*'PAG20 FE GE'!$C$2+P4*'PAG20 FE GE'!$C$3+Q4*'PAG20 FE GE'!$C$4</f>
        <v>69760.47</v>
      </c>
      <c r="O4" s="9">
        <f>69.15*1000</f>
        <v>69150</v>
      </c>
      <c r="P4" s="9">
        <f>0.00595*1000</f>
        <v>5.95</v>
      </c>
      <c r="Q4" s="9">
        <f>0.00063*1000</f>
        <v>0.63</v>
      </c>
      <c r="R4" s="9">
        <f>X4*'PAG100 FE GE'!$E$2+Y4*'PAG100 FE GE'!$E$3+Z4*'PAG100 FE GE'!$E$4</f>
        <v>2492.3954046600006</v>
      </c>
      <c r="S4" s="9">
        <f>X4*'PAG20 FE GE'!$E$2+Y4*'PAG20 FE GE'!$E$3+Z4*'PAG20 FE GE'!$E$4</f>
        <v>2503.7704028400003</v>
      </c>
      <c r="T4" s="9">
        <f>X4*'PAG100 FE GE'!$D$2+Y4*'PAG100 FE GE'!$D$3+Z4*'PAG100 FE GE'!$D$4</f>
        <v>2492.2359714000004</v>
      </c>
      <c r="U4" s="9">
        <f>X4*'PAG20 FE GE'!$D$2+Y4*'PAG20 FE GE'!$D$3+Z4*'PAG20 FE GE'!$D$4</f>
        <v>2504.3780067600005</v>
      </c>
      <c r="V4" s="9">
        <f>X4*'PAG100 FE GE'!$C$2+Y4*'PAG100 FE GE'!$C$3+Z4*'PAG100 FE GE'!$C$4</f>
        <v>2492.3414233200001</v>
      </c>
      <c r="W4" s="9">
        <f>X4*'PAG20 FE GE'!$C$2+Y4*'PAG20 FE GE'!$C$3+Z4*'PAG20 FE GE'!$C$4</f>
        <v>2502.1685379600003</v>
      </c>
      <c r="X4" s="9">
        <f t="shared" si="2"/>
        <v>2480.2722000000003</v>
      </c>
      <c r="Y4" s="9">
        <f t="shared" si="3"/>
        <v>0.21341460000000004</v>
      </c>
      <c r="Z4" s="9">
        <f t="shared" si="4"/>
        <v>2.2596840000000003E-2</v>
      </c>
      <c r="AA4" s="9">
        <f>AG4*'PAG100 FE GE'!$E$2+AH4*'PAG100 FE GE'!$E$3+AI4*'PAG100 FE GE'!$E$4</f>
        <v>1328.139625</v>
      </c>
      <c r="AB4" s="9">
        <f>AG4*'PAG20 FE GE'!$E$2+AH4*'PAG20 FE GE'!$E$3+AI4*'PAG20 FE GE'!$E$4</f>
        <v>1334.2025000000001</v>
      </c>
      <c r="AC4" s="9">
        <f>AG4*'PAG100 FE GE'!$D$2+AH4*'PAG100 FE GE'!$D$3+AI4*'PAG100 FE GE'!$D$4</f>
        <v>1328.0550000000001</v>
      </c>
      <c r="AD4" s="9">
        <f>AG4*'PAG20 FE GE'!$D$2+AH4*'PAG20 FE GE'!$D$3+AI4*'PAG20 FE GE'!$D$4</f>
        <v>1334.52675</v>
      </c>
      <c r="AE4" s="9">
        <f>AG4*'PAG100 FE GE'!$C$2+AH4*'PAG100 FE GE'!$C$3+AI4*'PAG100 FE GE'!$C$4</f>
        <v>1328.1097500000001</v>
      </c>
      <c r="AF4" s="9">
        <f>AG4*'PAG20 FE GE'!$C$2+AH4*'PAG20 FE GE'!$C$3+AI4*'PAG20 FE GE'!$C$4</f>
        <v>1333.3480000000002</v>
      </c>
      <c r="AG4" s="9">
        <v>1321.69</v>
      </c>
      <c r="AH4" s="9">
        <f>113.75/1000</f>
        <v>0.11375</v>
      </c>
      <c r="AI4" s="9">
        <v>1.2E-2</v>
      </c>
      <c r="AJ4" s="13">
        <f t="shared" si="0"/>
        <v>53.288102813876634</v>
      </c>
      <c r="AK4" t="s">
        <v>424</v>
      </c>
      <c r="AL4" t="s">
        <v>790</v>
      </c>
    </row>
    <row r="5" spans="1:38" ht="15.75" thickBot="1" x14ac:dyDescent="0.3">
      <c r="A5" s="4" t="s">
        <v>2</v>
      </c>
      <c r="B5" s="7" t="s">
        <v>13</v>
      </c>
      <c r="C5" s="5" t="s">
        <v>3</v>
      </c>
      <c r="D5" s="6" t="s">
        <v>10</v>
      </c>
      <c r="E5" s="6" t="str">
        <f t="shared" si="1"/>
        <v>Pesado de Passageiros M3: I : Gasóleo : E3</v>
      </c>
      <c r="F5" s="6" t="s">
        <v>55</v>
      </c>
      <c r="G5" s="6" t="s">
        <v>96</v>
      </c>
      <c r="H5" s="9">
        <f>IF(G5="MJ",INDEX(Tabela1[Energia (MJ/Qtd.)],MATCH(C5,Tabela1[Fuel],0)),IF(G5="GJ",INDEX(Tabela1[Energia (GJ/Qtd.)2],MATCH(C5,Tabela1[Fuel],0)),"XXX"))</f>
        <v>3.5868000000000004E-2</v>
      </c>
      <c r="I5" s="9">
        <f>O5*'PAG100 FE GE'!$E$2+P5*'PAG100 FE GE'!$E$3+Q5*'PAG100 FE GE'!$E$4</f>
        <v>69381.384000000005</v>
      </c>
      <c r="J5" s="9">
        <f>O5*'PAG20 FE GE'!$E$2+P5*'PAG20 FE GE'!$E$3+Q5*'PAG20 FE GE'!$E$4</f>
        <v>69661.741999999998</v>
      </c>
      <c r="K5" s="9">
        <f>O5*'PAG100 FE GE'!$D$2+P5*'PAG100 FE GE'!$D$3+Q5*'PAG100 FE GE'!$D$4</f>
        <v>69379.429999999993</v>
      </c>
      <c r="L5" s="9">
        <f>O5*'PAG20 FE GE'!$D$2+P5*'PAG20 FE GE'!$D$3+Q5*'PAG20 FE GE'!$D$4</f>
        <v>69678.94</v>
      </c>
      <c r="M5" s="9">
        <f>O5*'PAG100 FE GE'!$C$2+P5*'PAG100 FE GE'!$C$3+Q5*'PAG100 FE GE'!$C$4</f>
        <v>69373.88</v>
      </c>
      <c r="N5" s="9">
        <f>O5*'PAG20 FE GE'!$C$2+P5*'PAG20 FE GE'!$C$3+Q5*'PAG20 FE GE'!$C$4</f>
        <v>69618.31</v>
      </c>
      <c r="O5" s="9">
        <f>69.15*1000</f>
        <v>69150</v>
      </c>
      <c r="P5" s="9">
        <f>0.00526*1000</f>
        <v>5.26</v>
      </c>
      <c r="Q5" s="9">
        <f>0.00031*1000</f>
        <v>0.31</v>
      </c>
      <c r="R5" s="9">
        <f>X5*'PAG100 FE GE'!$E$2+Y5*'PAG100 FE GE'!$E$3+Z5*'PAG100 FE GE'!$E$4</f>
        <v>2488.5714813120003</v>
      </c>
      <c r="S5" s="9">
        <f>X5*'PAG20 FE GE'!$E$2+Y5*'PAG20 FE GE'!$E$3+Z5*'PAG20 FE GE'!$E$4</f>
        <v>2498.6273620560005</v>
      </c>
      <c r="T5" s="9">
        <f>X5*'PAG100 FE GE'!$D$2+Y5*'PAG100 FE GE'!$D$3+Z5*'PAG100 FE GE'!$D$4</f>
        <v>2488.5013952400004</v>
      </c>
      <c r="U5" s="9">
        <f>X5*'PAG20 FE GE'!$D$2+Y5*'PAG20 FE GE'!$D$3+Z5*'PAG20 FE GE'!$D$4</f>
        <v>2499.2442199200004</v>
      </c>
      <c r="V5" s="9">
        <f>X5*'PAG100 FE GE'!$C$2+Y5*'PAG100 FE GE'!$C$3+Z5*'PAG100 FE GE'!$C$4</f>
        <v>2488.3023278400001</v>
      </c>
      <c r="W5" s="9">
        <f>X5*'PAG20 FE GE'!$C$2+Y5*'PAG20 FE GE'!$C$3+Z5*'PAG20 FE GE'!$C$4</f>
        <v>2497.0695430800001</v>
      </c>
      <c r="X5" s="9">
        <f t="shared" si="2"/>
        <v>2480.2722000000003</v>
      </c>
      <c r="Y5" s="9">
        <f t="shared" si="3"/>
        <v>0.18866568</v>
      </c>
      <c r="Z5" s="9">
        <f t="shared" si="4"/>
        <v>1.1119080000000002E-2</v>
      </c>
      <c r="AA5" s="9">
        <f>AG5*'PAG100 FE GE'!$E$2+AH5*'PAG100 FE GE'!$E$3+AI5*'PAG100 FE GE'!$E$4</f>
        <v>1362.058675</v>
      </c>
      <c r="AB5" s="9">
        <f>AG5*'PAG20 FE GE'!$E$2+AH5*'PAG20 FE GE'!$E$3+AI5*'PAG20 FE GE'!$E$4</f>
        <v>1367.5618999999999</v>
      </c>
      <c r="AC5" s="9">
        <f>AG5*'PAG100 FE GE'!$D$2+AH5*'PAG100 FE GE'!$D$3+AI5*'PAG100 FE GE'!$D$4</f>
        <v>1362.021</v>
      </c>
      <c r="AD5" s="9">
        <f>AG5*'PAG20 FE GE'!$D$2+AH5*'PAG20 FE GE'!$D$3+AI5*'PAG20 FE GE'!$D$4</f>
        <v>1367.9002499999999</v>
      </c>
      <c r="AE5" s="9">
        <f>AG5*'PAG100 FE GE'!$C$2+AH5*'PAG100 FE GE'!$C$3+AI5*'PAG100 FE GE'!$C$4</f>
        <v>1361.9092499999999</v>
      </c>
      <c r="AF5" s="9">
        <f>AG5*'PAG20 FE GE'!$C$2+AH5*'PAG20 FE GE'!$C$3+AI5*'PAG20 FE GE'!$C$4</f>
        <v>1366.7079999999999</v>
      </c>
      <c r="AG5" s="9">
        <v>1357.54</v>
      </c>
      <c r="AH5" s="9">
        <f>103.25/1000</f>
        <v>0.10324999999999999</v>
      </c>
      <c r="AI5" s="9">
        <v>6.0000000000000001E-3</v>
      </c>
      <c r="AJ5" s="13">
        <f t="shared" si="0"/>
        <v>54.733508685054801</v>
      </c>
      <c r="AK5" t="s">
        <v>424</v>
      </c>
      <c r="AL5" t="s">
        <v>790</v>
      </c>
    </row>
    <row r="6" spans="1:38" ht="15.75" thickBot="1" x14ac:dyDescent="0.3">
      <c r="A6" s="4" t="s">
        <v>2</v>
      </c>
      <c r="B6" s="7" t="s">
        <v>13</v>
      </c>
      <c r="C6" s="5" t="s">
        <v>3</v>
      </c>
      <c r="D6" s="6" t="s">
        <v>4</v>
      </c>
      <c r="E6" s="6" t="str">
        <f t="shared" si="1"/>
        <v>Pesado de Passageiros M3: I : Gasóleo : E4</v>
      </c>
      <c r="F6" s="6" t="s">
        <v>55</v>
      </c>
      <c r="G6" s="6" t="s">
        <v>96</v>
      </c>
      <c r="H6" s="9">
        <f>IF(G6="MJ",INDEX(Tabela1[Energia (MJ/Qtd.)],MATCH(C6,Tabela1[Fuel],0)),IF(G6="GJ",INDEX(Tabela1[Energia (GJ/Qtd.)2],MATCH(C6,Tabela1[Fuel],0)),"XXX"))</f>
        <v>3.5868000000000004E-2</v>
      </c>
      <c r="I6" s="9">
        <f>O6*'PAG100 FE GE'!$E$2+P6*'PAG100 FE GE'!$E$3+Q6*'PAG100 FE GE'!$E$4</f>
        <v>69713.399000000005</v>
      </c>
      <c r="J6" s="9">
        <f>O6*'PAG20 FE GE'!$E$2+P6*'PAG20 FE GE'!$E$3+Q6*'PAG20 FE GE'!$E$4</f>
        <v>69729.922000000006</v>
      </c>
      <c r="K6" s="9">
        <f>O6*'PAG100 FE GE'!$D$2+P6*'PAG100 FE GE'!$D$3+Q6*'PAG100 FE GE'!$D$4</f>
        <v>69707.429999999993</v>
      </c>
      <c r="L6" s="9">
        <f>O6*'PAG20 FE GE'!$D$2+P6*'PAG20 FE GE'!$D$3+Q6*'PAG20 FE GE'!$D$4</f>
        <v>69724.350000000006</v>
      </c>
      <c r="M6" s="9">
        <f>O6*'PAG100 FE GE'!$C$2+P6*'PAG100 FE GE'!$C$3+Q6*'PAG100 FE GE'!$C$4</f>
        <v>69731.25</v>
      </c>
      <c r="N6" s="9">
        <f>O6*'PAG20 FE GE'!$C$2+P6*'PAG20 FE GE'!$C$3+Q6*'PAG20 FE GE'!$C$4</f>
        <v>69739.070000000007</v>
      </c>
      <c r="O6" s="9">
        <f>69.5*1000</f>
        <v>69500</v>
      </c>
      <c r="P6" s="9">
        <f>0.00031*1000</f>
        <v>0.31</v>
      </c>
      <c r="Q6" s="9">
        <f>0.00075*1000</f>
        <v>0.75</v>
      </c>
      <c r="R6" s="9">
        <f>X6*'PAG100 FE GE'!$E$2+Y6*'PAG100 FE GE'!$E$3+Z6*'PAG100 FE GE'!$E$4</f>
        <v>2500.4801953320007</v>
      </c>
      <c r="S6" s="9">
        <f>X6*'PAG20 FE GE'!$E$2+Y6*'PAG20 FE GE'!$E$3+Z6*'PAG20 FE GE'!$E$4</f>
        <v>2501.0728422960005</v>
      </c>
      <c r="T6" s="9">
        <f>X6*'PAG100 FE GE'!$D$2+Y6*'PAG100 FE GE'!$D$3+Z6*'PAG100 FE GE'!$D$4</f>
        <v>2500.2660992400006</v>
      </c>
      <c r="U6" s="9">
        <f>X6*'PAG20 FE GE'!$D$2+Y6*'PAG20 FE GE'!$D$3+Z6*'PAG20 FE GE'!$D$4</f>
        <v>2500.8729858000006</v>
      </c>
      <c r="V6" s="9">
        <f>X6*'PAG100 FE GE'!$C$2+Y6*'PAG100 FE GE'!$C$3+Z6*'PAG100 FE GE'!$C$4</f>
        <v>2501.1204750000006</v>
      </c>
      <c r="W6" s="9">
        <f>X6*'PAG20 FE GE'!$C$2+Y6*'PAG20 FE GE'!$C$3+Z6*'PAG20 FE GE'!$C$4</f>
        <v>2501.4009627600008</v>
      </c>
      <c r="X6" s="9">
        <f t="shared" si="2"/>
        <v>2492.8260000000005</v>
      </c>
      <c r="Y6" s="9">
        <f t="shared" si="3"/>
        <v>1.1119080000000002E-2</v>
      </c>
      <c r="Z6" s="9">
        <f t="shared" si="4"/>
        <v>2.6901000000000001E-2</v>
      </c>
      <c r="AA6" s="9">
        <f>AG6*'PAG100 FE GE'!$E$2+AH6*'PAG100 FE GE'!$E$3+AI6*'PAG100 FE GE'!$E$4</f>
        <v>1197.400875</v>
      </c>
      <c r="AB6" s="9">
        <f>AG6*'PAG20 FE GE'!$E$2+AH6*'PAG20 FE GE'!$E$3+AI6*'PAG20 FE GE'!$E$4</f>
        <v>1197.6807000000001</v>
      </c>
      <c r="AC6" s="9">
        <f>AG6*'PAG100 FE GE'!$D$2+AH6*'PAG100 FE GE'!$D$3+AI6*'PAG100 FE GE'!$D$4</f>
        <v>1197.299</v>
      </c>
      <c r="AD6" s="9">
        <f>AG6*'PAG20 FE GE'!$D$2+AH6*'PAG20 FE GE'!$D$3+AI6*'PAG20 FE GE'!$D$4</f>
        <v>1197.58545</v>
      </c>
      <c r="AE6" s="9">
        <f>AG6*'PAG100 FE GE'!$C$2+AH6*'PAG100 FE GE'!$C$3+AI6*'PAG100 FE GE'!$C$4</f>
        <v>1197.7056499999999</v>
      </c>
      <c r="AF6" s="9">
        <f>AG6*'PAG20 FE GE'!$C$2+AH6*'PAG20 FE GE'!$C$3+AI6*'PAG20 FE GE'!$C$4</f>
        <v>1197.8371999999999</v>
      </c>
      <c r="AG6" s="9">
        <v>1193.76</v>
      </c>
      <c r="AH6" s="9">
        <f>5.25/1000</f>
        <v>5.2500000000000003E-3</v>
      </c>
      <c r="AI6" s="9">
        <f>12.8/1000</f>
        <v>1.2800000000000001E-2</v>
      </c>
      <c r="AJ6" s="13">
        <f t="shared" si="0"/>
        <v>47.887818885072598</v>
      </c>
      <c r="AK6" t="s">
        <v>424</v>
      </c>
      <c r="AL6" t="s">
        <v>790</v>
      </c>
    </row>
    <row r="7" spans="1:38" ht="15.75" thickBot="1" x14ac:dyDescent="0.3">
      <c r="A7" s="4" t="s">
        <v>2</v>
      </c>
      <c r="B7" s="7" t="s">
        <v>13</v>
      </c>
      <c r="C7" s="5" t="s">
        <v>3</v>
      </c>
      <c r="D7" s="6" t="s">
        <v>5</v>
      </c>
      <c r="E7" s="6" t="str">
        <f t="shared" si="1"/>
        <v>Pesado de Passageiros M3: I : Gasóleo : E5</v>
      </c>
      <c r="F7" s="6" t="s">
        <v>55</v>
      </c>
      <c r="G7" s="6" t="s">
        <v>96</v>
      </c>
      <c r="H7" s="9">
        <f>IF(G7="MJ",INDEX(Tabela1[Energia (MJ/Qtd.)],MATCH(C7,Tabela1[Fuel],0)),IF(G7="GJ",INDEX(Tabela1[Energia (GJ/Qtd.)2],MATCH(C7,Tabela1[Fuel],0)),"XXX"))</f>
        <v>3.5868000000000004E-2</v>
      </c>
      <c r="I7" s="9">
        <f>O7*'PAG100 FE GE'!$E$2+P7*'PAG100 FE GE'!$E$3+Q7*'PAG100 FE GE'!$E$4</f>
        <v>70027.069999999992</v>
      </c>
      <c r="J7" s="9">
        <f>O7*'PAG20 FE GE'!$E$2+P7*'PAG20 FE GE'!$E$3+Q7*'PAG20 FE GE'!$E$4</f>
        <v>70043.06</v>
      </c>
      <c r="K7" s="9">
        <f>O7*'PAG100 FE GE'!$D$2+P7*'PAG100 FE GE'!$D$3+Q7*'PAG100 FE GE'!$D$4</f>
        <v>70011.899999999994</v>
      </c>
      <c r="L7" s="9">
        <f>O7*'PAG20 FE GE'!$D$2+P7*'PAG20 FE GE'!$D$3+Q7*'PAG20 FE GE'!$D$4</f>
        <v>70027.100000000006</v>
      </c>
      <c r="M7" s="9">
        <f>O7*'PAG100 FE GE'!$C$2+P7*'PAG100 FE GE'!$C$3+Q7*'PAG100 FE GE'!$C$4</f>
        <v>70073.7</v>
      </c>
      <c r="N7" s="9">
        <f>O7*'PAG20 FE GE'!$C$2+P7*'PAG20 FE GE'!$C$3+Q7*'PAG20 FE GE'!$C$4</f>
        <v>70070.700000000012</v>
      </c>
      <c r="O7" s="9">
        <f>69.5*1000</f>
        <v>69500</v>
      </c>
      <c r="P7" s="9">
        <f>0.0003*1000</f>
        <v>0.3</v>
      </c>
      <c r="Q7" s="9">
        <f>0.0019*1000</f>
        <v>1.9</v>
      </c>
      <c r="R7" s="9">
        <f>X7*'PAG100 FE GE'!$E$2+Y7*'PAG100 FE GE'!$E$3+Z7*'PAG100 FE GE'!$E$4</f>
        <v>2511.7309467600003</v>
      </c>
      <c r="S7" s="9">
        <f>X7*'PAG20 FE GE'!$E$2+Y7*'PAG20 FE GE'!$E$3+Z7*'PAG20 FE GE'!$E$4</f>
        <v>2512.3044760800003</v>
      </c>
      <c r="T7" s="9">
        <f>X7*'PAG100 FE GE'!$D$2+Y7*'PAG100 FE GE'!$D$3+Z7*'PAG100 FE GE'!$D$4</f>
        <v>2511.1868292000004</v>
      </c>
      <c r="U7" s="9">
        <f>X7*'PAG20 FE GE'!$D$2+Y7*'PAG20 FE GE'!$D$3+Z7*'PAG20 FE GE'!$D$4</f>
        <v>2511.7320228000008</v>
      </c>
      <c r="V7" s="9">
        <f>X7*'PAG100 FE GE'!$C$2+Y7*'PAG100 FE GE'!$C$3+Z7*'PAG100 FE GE'!$C$4</f>
        <v>2513.4034716000006</v>
      </c>
      <c r="W7" s="9">
        <f>X7*'PAG20 FE GE'!$C$2+Y7*'PAG20 FE GE'!$C$3+Z7*'PAG20 FE GE'!$C$4</f>
        <v>2513.2958676000003</v>
      </c>
      <c r="X7" s="9">
        <f t="shared" si="2"/>
        <v>2492.8260000000005</v>
      </c>
      <c r="Y7" s="9">
        <f t="shared" si="3"/>
        <v>1.0760400000000002E-2</v>
      </c>
      <c r="Z7" s="9">
        <f t="shared" si="4"/>
        <v>6.8149200000000007E-2</v>
      </c>
      <c r="AA7" s="9">
        <f>AG7*'PAG100 FE GE'!$E$2+AH7*'PAG100 FE GE'!$E$3+AI7*'PAG100 FE GE'!$E$4</f>
        <v>1222.1000750000001</v>
      </c>
      <c r="AB7" s="9">
        <f>AG7*'PAG20 FE GE'!$E$2+AH7*'PAG20 FE GE'!$E$3+AI7*'PAG20 FE GE'!$E$4</f>
        <v>1222.3799000000001</v>
      </c>
      <c r="AC7" s="9">
        <f>AG7*'PAG100 FE GE'!$D$2+AH7*'PAG100 FE GE'!$D$3+AI7*'PAG100 FE GE'!$D$4</f>
        <v>1221.835</v>
      </c>
      <c r="AD7" s="9">
        <f>AG7*'PAG20 FE GE'!$D$2+AH7*'PAG20 FE GE'!$D$3+AI7*'PAG20 FE GE'!$D$4</f>
        <v>1222.10105</v>
      </c>
      <c r="AE7" s="9">
        <f>AG7*'PAG100 FE GE'!$C$2+AH7*'PAG100 FE GE'!$C$3+AI7*'PAG100 FE GE'!$C$4</f>
        <v>1222.9148500000001</v>
      </c>
      <c r="AF7" s="9">
        <f>AG7*'PAG20 FE GE'!$C$2+AH7*'PAG20 FE GE'!$C$3+AI7*'PAG20 FE GE'!$C$4</f>
        <v>1222.8628000000001</v>
      </c>
      <c r="AG7" s="9">
        <v>1212.8900000000001</v>
      </c>
      <c r="AH7" s="9">
        <f>5.25/1000</f>
        <v>5.2500000000000003E-3</v>
      </c>
      <c r="AI7" s="9">
        <f>33.2/1000</f>
        <v>3.32E-2</v>
      </c>
      <c r="AJ7" s="13">
        <f t="shared" si="0"/>
        <v>48.655221022245435</v>
      </c>
      <c r="AK7" t="s">
        <v>424</v>
      </c>
      <c r="AL7" t="s">
        <v>790</v>
      </c>
    </row>
    <row r="8" spans="1:38" ht="15.75" thickBot="1" x14ac:dyDescent="0.3">
      <c r="A8" s="4" t="s">
        <v>2</v>
      </c>
      <c r="B8" s="7" t="s">
        <v>13</v>
      </c>
      <c r="C8" s="5" t="s">
        <v>3</v>
      </c>
      <c r="D8" s="6" t="s">
        <v>6</v>
      </c>
      <c r="E8" s="6" t="str">
        <f t="shared" si="1"/>
        <v>Pesado de Passageiros M3: I : Gasóleo : E6</v>
      </c>
      <c r="F8" s="6" t="s">
        <v>55</v>
      </c>
      <c r="G8" s="6" t="s">
        <v>96</v>
      </c>
      <c r="H8" s="9">
        <f>IF(G8="MJ",INDEX(Tabela1[Energia (MJ/Qtd.)],MATCH(C8,Tabela1[Fuel],0)),IF(G8="GJ",INDEX(Tabela1[Energia (GJ/Qtd.)2],MATCH(C8,Tabela1[Fuel],0)),"XXX"))</f>
        <v>3.5868000000000004E-2</v>
      </c>
      <c r="I8" s="9">
        <f>O8*'PAG100 FE GE'!$E$2+P8*'PAG100 FE GE'!$E$3+Q8*'PAG100 FE GE'!$E$4</f>
        <v>69990.531000000003</v>
      </c>
      <c r="J8" s="9">
        <f>O8*'PAG20 FE GE'!$E$2+P8*'PAG20 FE GE'!$E$3+Q8*'PAG20 FE GE'!$E$4</f>
        <v>70005.987999999998</v>
      </c>
      <c r="K8" s="9">
        <f>O8*'PAG100 FE GE'!$D$2+P8*'PAG100 FE GE'!$D$3+Q8*'PAG100 FE GE'!$D$4</f>
        <v>69972.319999999992</v>
      </c>
      <c r="L8" s="9">
        <f>O8*'PAG20 FE GE'!$D$2+P8*'PAG20 FE GE'!$D$3+Q8*'PAG20 FE GE'!$D$4</f>
        <v>69986.569999999992</v>
      </c>
      <c r="M8" s="9">
        <f>O8*'PAG100 FE GE'!$C$2+P8*'PAG100 FE GE'!$C$3+Q8*'PAG100 FE GE'!$C$4</f>
        <v>70046.69</v>
      </c>
      <c r="N8" s="9">
        <f>O8*'PAG20 FE GE'!$C$2+P8*'PAG20 FE GE'!$C$3+Q8*'PAG20 FE GE'!$C$4</f>
        <v>70039.8</v>
      </c>
      <c r="O8" s="9">
        <f>69.36*1000</f>
        <v>69360</v>
      </c>
      <c r="P8" s="9">
        <f>0.00029*1000</f>
        <v>0.28999999999999998</v>
      </c>
      <c r="Q8" s="9">
        <f>0.00228*1000</f>
        <v>2.2799999999999998</v>
      </c>
      <c r="R8" s="9">
        <f>X8*'PAG100 FE GE'!$E$2+Y8*'PAG100 FE GE'!$E$3+Z8*'PAG100 FE GE'!$E$4</f>
        <v>2510.4203659080003</v>
      </c>
      <c r="S8" s="9">
        <f>X8*'PAG20 FE GE'!$E$2+Y8*'PAG20 FE GE'!$E$3+Z8*'PAG20 FE GE'!$E$4</f>
        <v>2510.9747775840005</v>
      </c>
      <c r="T8" s="9">
        <f>X8*'PAG100 FE GE'!$D$2+Y8*'PAG100 FE GE'!$D$3+Z8*'PAG100 FE GE'!$D$4</f>
        <v>2509.7671737600003</v>
      </c>
      <c r="U8" s="9">
        <f>X8*'PAG20 FE GE'!$D$2+Y8*'PAG20 FE GE'!$D$3+Z8*'PAG20 FE GE'!$D$4</f>
        <v>2510.2782927600001</v>
      </c>
      <c r="V8" s="9">
        <f>X8*'PAG100 FE GE'!$C$2+Y8*'PAG100 FE GE'!$C$3+Z8*'PAG100 FE GE'!$C$4</f>
        <v>2512.4346769200006</v>
      </c>
      <c r="W8" s="9">
        <f>X8*'PAG20 FE GE'!$C$2+Y8*'PAG20 FE GE'!$C$3+Z8*'PAG20 FE GE'!$C$4</f>
        <v>2512.1875464</v>
      </c>
      <c r="X8" s="9">
        <f t="shared" si="2"/>
        <v>2487.8044800000002</v>
      </c>
      <c r="Y8" s="9">
        <f t="shared" si="3"/>
        <v>1.040172E-2</v>
      </c>
      <c r="Z8" s="9">
        <f t="shared" si="4"/>
        <v>8.1779039999999997E-2</v>
      </c>
      <c r="AA8" s="9">
        <f>AG8*'PAG100 FE GE'!$E$2+AH8*'PAG100 FE GE'!$E$3+AI8*'PAG100 FE GE'!$E$4</f>
        <v>1272.9559750000001</v>
      </c>
      <c r="AB8" s="9">
        <f>AG8*'PAG20 FE GE'!$E$2+AH8*'PAG20 FE GE'!$E$3+AI8*'PAG20 FE GE'!$E$4</f>
        <v>1273.2358000000002</v>
      </c>
      <c r="AC8" s="9">
        <f>AG8*'PAG100 FE GE'!$D$2+AH8*'PAG100 FE GE'!$D$3+AI8*'PAG100 FE GE'!$D$4</f>
        <v>1272.6244999999999</v>
      </c>
      <c r="AD8" s="9">
        <f>AG8*'PAG20 FE GE'!$D$2+AH8*'PAG20 FE GE'!$D$3+AI8*'PAG20 FE GE'!$D$4</f>
        <v>1272.8822499999999</v>
      </c>
      <c r="AE8" s="9">
        <f>AG8*'PAG100 FE GE'!$C$2+AH8*'PAG100 FE GE'!$C$3+AI8*'PAG100 FE GE'!$C$4</f>
        <v>1273.9782499999999</v>
      </c>
      <c r="AF8" s="9">
        <f>AG8*'PAG20 FE GE'!$C$2+AH8*'PAG20 FE GE'!$C$3+AI8*'PAG20 FE GE'!$C$4</f>
        <v>1273.8515</v>
      </c>
      <c r="AG8" s="9">
        <v>1261.48</v>
      </c>
      <c r="AH8" s="9">
        <f>5.25/1000</f>
        <v>5.2500000000000003E-3</v>
      </c>
      <c r="AI8" s="9">
        <f>41.5/1000</f>
        <v>4.1500000000000002E-2</v>
      </c>
      <c r="AJ8" s="13">
        <f t="shared" si="0"/>
        <v>50.706557132656982</v>
      </c>
      <c r="AK8" t="s">
        <v>424</v>
      </c>
      <c r="AL8" t="s">
        <v>790</v>
      </c>
    </row>
    <row r="9" spans="1:38" ht="15.75" thickBot="1" x14ac:dyDescent="0.3">
      <c r="A9" s="4" t="s">
        <v>2</v>
      </c>
      <c r="B9" s="7" t="s">
        <v>13</v>
      </c>
      <c r="C9" s="5" t="s">
        <v>3</v>
      </c>
      <c r="D9" s="6" t="s">
        <v>81</v>
      </c>
      <c r="E9" s="6" t="str">
        <f t="shared" si="1"/>
        <v>Pesado de Passageiros M3: I : Gasóleo : E6 D/E E7</v>
      </c>
      <c r="F9" s="6" t="s">
        <v>55</v>
      </c>
      <c r="G9" s="6" t="s">
        <v>96</v>
      </c>
      <c r="H9" s="9">
        <f>IF(G9="MJ",INDEX(Tabela1[Energia (MJ/Qtd.)],MATCH(C9,Tabela1[Fuel],0)),IF(G9="GJ",INDEX(Tabela1[Energia (GJ/Qtd.)2],MATCH(C9,Tabela1[Fuel],0)),"XXX"))</f>
        <v>3.5868000000000004E-2</v>
      </c>
      <c r="I9" s="9">
        <f>O9*'PAG100 FE GE'!$E$2+P9*'PAG100 FE GE'!$E$3+Q9*'PAG100 FE GE'!$E$4</f>
        <v>69987.801000000007</v>
      </c>
      <c r="J9" s="9">
        <f>O9*'PAG20 FE GE'!$E$2+P9*'PAG20 FE GE'!$E$3+Q9*'PAG20 FE GE'!$E$4</f>
        <v>70003.258000000002</v>
      </c>
      <c r="K9" s="9">
        <f>O9*'PAG100 FE GE'!$D$2+P9*'PAG100 FE GE'!$D$3+Q9*'PAG100 FE GE'!$D$4</f>
        <v>69969.67</v>
      </c>
      <c r="L9" s="9">
        <f>O9*'PAG20 FE GE'!$D$2+P9*'PAG20 FE GE'!$D$3+Q9*'PAG20 FE GE'!$D$4</f>
        <v>69983.929999999993</v>
      </c>
      <c r="M9" s="9">
        <f>O9*'PAG100 FE GE'!$C$2+P9*'PAG100 FE GE'!$C$3+Q9*'PAG100 FE GE'!$C$4</f>
        <v>70043.710000000006</v>
      </c>
      <c r="N9" s="9">
        <f>O9*'PAG20 FE GE'!$C$2+P9*'PAG20 FE GE'!$C$3+Q9*'PAG20 FE GE'!$C$4</f>
        <v>70036.91</v>
      </c>
      <c r="O9" s="9">
        <f>69.36*1000</f>
        <v>69360</v>
      </c>
      <c r="P9" s="9">
        <f>0.00029*1000</f>
        <v>0.28999999999999998</v>
      </c>
      <c r="Q9" s="9">
        <f>0.00227*1000</f>
        <v>2.27</v>
      </c>
      <c r="R9" s="9">
        <f>X9*'PAG100 FE GE'!$E$2+Y9*'PAG100 FE GE'!$E$3+Z9*'PAG100 FE GE'!$E$4</f>
        <v>2510.3224462680005</v>
      </c>
      <c r="S9" s="9">
        <f>X9*'PAG20 FE GE'!$E$2+Y9*'PAG20 FE GE'!$E$3+Z9*'PAG20 FE GE'!$E$4</f>
        <v>2510.8768579440007</v>
      </c>
      <c r="T9" s="9">
        <f>X9*'PAG100 FE GE'!$D$2+Y9*'PAG100 FE GE'!$D$3+Z9*'PAG100 FE GE'!$D$4</f>
        <v>2509.6721235600003</v>
      </c>
      <c r="U9" s="9">
        <f>X9*'PAG20 FE GE'!$D$2+Y9*'PAG20 FE GE'!$D$3+Z9*'PAG20 FE GE'!$D$4</f>
        <v>2510.1836012400004</v>
      </c>
      <c r="V9" s="9">
        <f>X9*'PAG100 FE GE'!$C$2+Y9*'PAG100 FE GE'!$C$3+Z9*'PAG100 FE GE'!$C$4</f>
        <v>2512.3277902800005</v>
      </c>
      <c r="W9" s="9">
        <f>X9*'PAG20 FE GE'!$C$2+Y9*'PAG20 FE GE'!$C$3+Z9*'PAG20 FE GE'!$C$4</f>
        <v>2512.08388788</v>
      </c>
      <c r="X9" s="9">
        <f t="shared" si="2"/>
        <v>2487.8044800000002</v>
      </c>
      <c r="Y9" s="9">
        <f t="shared" si="3"/>
        <v>1.040172E-2</v>
      </c>
      <c r="Z9" s="9">
        <f t="shared" si="4"/>
        <v>8.1420360000000011E-2</v>
      </c>
      <c r="AA9" s="9">
        <f>AG9*'PAG100 FE GE'!$E$2+AH9*'PAG100 FE GE'!$E$3+AI9*'PAG100 FE GE'!$E$4</f>
        <v>1279.8959750000001</v>
      </c>
      <c r="AB9" s="9">
        <f>AG9*'PAG20 FE GE'!$E$2+AH9*'PAG20 FE GE'!$E$3+AI9*'PAG20 FE GE'!$E$4</f>
        <v>1280.1758000000002</v>
      </c>
      <c r="AC9" s="9">
        <f>AG9*'PAG100 FE GE'!$D$2+AH9*'PAG100 FE GE'!$D$3+AI9*'PAG100 FE GE'!$D$4</f>
        <v>1279.5645</v>
      </c>
      <c r="AD9" s="9">
        <f>AG9*'PAG20 FE GE'!$D$2+AH9*'PAG20 FE GE'!$D$3+AI9*'PAG20 FE GE'!$D$4</f>
        <v>1279.8222499999999</v>
      </c>
      <c r="AE9" s="9">
        <f>AG9*'PAG100 FE GE'!$C$2+AH9*'PAG100 FE GE'!$C$3+AI9*'PAG100 FE GE'!$C$4</f>
        <v>1280.9182499999999</v>
      </c>
      <c r="AF9" s="9">
        <f>AG9*'PAG20 FE GE'!$C$2+AH9*'PAG20 FE GE'!$C$3+AI9*'PAG20 FE GE'!$C$4</f>
        <v>1280.7915</v>
      </c>
      <c r="AG9" s="9">
        <v>1268.42</v>
      </c>
      <c r="AH9" s="9">
        <f>5.25/1000</f>
        <v>5.2500000000000003E-3</v>
      </c>
      <c r="AI9" s="9">
        <f>41.5/1000</f>
        <v>4.1500000000000002E-2</v>
      </c>
      <c r="AJ9" s="13">
        <f t="shared" si="0"/>
        <v>50.985517961604444</v>
      </c>
      <c r="AK9" t="s">
        <v>424</v>
      </c>
      <c r="AL9" t="s">
        <v>790</v>
      </c>
    </row>
    <row r="10" spans="1:38" ht="15.75" thickBot="1" x14ac:dyDescent="0.3">
      <c r="A10" s="4" t="s">
        <v>2</v>
      </c>
      <c r="B10" s="7" t="s">
        <v>13</v>
      </c>
      <c r="C10" s="5" t="s">
        <v>92</v>
      </c>
      <c r="D10" s="6" t="s">
        <v>8</v>
      </c>
      <c r="E10" s="6" t="str">
        <f t="shared" si="1"/>
        <v>Pesado de Passageiros M3: I : GNC : E0</v>
      </c>
      <c r="F10" s="6" t="s">
        <v>56</v>
      </c>
      <c r="G10" s="6" t="s">
        <v>96</v>
      </c>
      <c r="H10" s="9">
        <f>IF(G10="MJ",INDEX(Tabela1[Energia (MJ/Qtd.)],MATCH(C10,Tabela1[Fuel],0)),IF(G10="GJ",INDEX(Tabela1[Energia (GJ/Qtd.)2],MATCH(C10,Tabela1[Fuel],0)),"XXX"))</f>
        <v>3.7521600000000002E-2</v>
      </c>
      <c r="I10" s="17">
        <v>-1</v>
      </c>
      <c r="J10" s="17">
        <v>-1</v>
      </c>
      <c r="K10" s="17">
        <v>-1</v>
      </c>
      <c r="L10" s="17">
        <v>-1</v>
      </c>
      <c r="M10" s="17">
        <v>-1</v>
      </c>
      <c r="N10" s="17">
        <v>-1</v>
      </c>
      <c r="O10" s="17">
        <v>-1</v>
      </c>
      <c r="P10" s="17">
        <v>-1</v>
      </c>
      <c r="Q10" s="17">
        <v>-1</v>
      </c>
      <c r="R10" s="17">
        <f>X10*'PAG100 FE GE'!$E$2+Y10*'PAG100 FE GE'!$E$3+Z10*'PAG100 FE GE'!$E$4</f>
        <v>-301.89999999999998</v>
      </c>
      <c r="S10" s="17">
        <f>X10*'PAG20 FE GE'!$E$2+Y10*'PAG20 FE GE'!$E$3+Z10*'PAG20 FE GE'!$E$4</f>
        <v>-355.2</v>
      </c>
      <c r="T10" s="17">
        <f>X10*'PAG100 FE GE'!$D$2+Y10*'PAG100 FE GE'!$D$3+Z10*'PAG100 FE GE'!$D$4</f>
        <v>-294</v>
      </c>
      <c r="U10" s="17">
        <f>X10*'PAG20 FE GE'!$D$2+Y10*'PAG20 FE GE'!$D$3+Z10*'PAG20 FE GE'!$D$4</f>
        <v>-350</v>
      </c>
      <c r="V10" s="17">
        <f>X10*'PAG100 FE GE'!$C$2+Y10*'PAG100 FE GE'!$C$3+Z10*'PAG100 FE GE'!$C$4</f>
        <v>-324</v>
      </c>
      <c r="W10" s="17">
        <f>X10*'PAG20 FE GE'!$C$2+Y10*'PAG20 FE GE'!$C$3+Z10*'PAG20 FE GE'!$C$4</f>
        <v>-362</v>
      </c>
      <c r="X10" s="17">
        <v>-1</v>
      </c>
      <c r="Y10" s="17">
        <v>-1</v>
      </c>
      <c r="Z10" s="17">
        <v>-1</v>
      </c>
      <c r="AA10" s="17">
        <f>AG10*'PAG100 FE GE'!$E$2+AH10*'PAG100 FE GE'!$E$3+AI10*'PAG100 FE GE'!$E$4</f>
        <v>-301.89999999999998</v>
      </c>
      <c r="AB10" s="17">
        <f>AG10*'PAG20 FE GE'!$E$2+AH10*'PAG20 FE GE'!$E$3+AI10*'PAG20 FE GE'!$E$4</f>
        <v>-355.2</v>
      </c>
      <c r="AC10" s="17">
        <f>AG10*'PAG100 FE GE'!$D$2+AH10*'PAG100 FE GE'!$D$3+AI10*'PAG100 FE GE'!$D$4</f>
        <v>-294</v>
      </c>
      <c r="AD10" s="17">
        <f>AG10*'PAG20 FE GE'!$D$2+AH10*'PAG20 FE GE'!$D$3+AI10*'PAG20 FE GE'!$D$4</f>
        <v>-350</v>
      </c>
      <c r="AE10" s="17">
        <f>AG10*'PAG100 FE GE'!$C$2+AH10*'PAG100 FE GE'!$C$3+AI10*'PAG100 FE GE'!$C$4</f>
        <v>-324</v>
      </c>
      <c r="AF10" s="17">
        <f>AG10*'PAG20 FE GE'!$C$2+AH10*'PAG20 FE GE'!$C$3+AI10*'PAG20 FE GE'!$C$4</f>
        <v>-362</v>
      </c>
      <c r="AG10" s="17">
        <v>-1</v>
      </c>
      <c r="AH10" s="17">
        <v>-1</v>
      </c>
      <c r="AI10" s="17">
        <v>-1</v>
      </c>
      <c r="AJ10" s="17">
        <v>-1</v>
      </c>
      <c r="AK10" t="s">
        <v>424</v>
      </c>
      <c r="AL10" t="s">
        <v>790</v>
      </c>
    </row>
    <row r="11" spans="1:38" ht="15.75" thickBot="1" x14ac:dyDescent="0.3">
      <c r="A11" s="4" t="s">
        <v>2</v>
      </c>
      <c r="B11" s="7" t="s">
        <v>13</v>
      </c>
      <c r="C11" s="5" t="s">
        <v>92</v>
      </c>
      <c r="D11" s="6" t="s">
        <v>7</v>
      </c>
      <c r="E11" s="6" t="str">
        <f t="shared" si="1"/>
        <v>Pesado de Passageiros M3: I : GNC : E1</v>
      </c>
      <c r="F11" s="6" t="s">
        <v>56</v>
      </c>
      <c r="G11" s="6" t="s">
        <v>96</v>
      </c>
      <c r="H11" s="9">
        <f>IF(G11="MJ",INDEX(Tabela1[Energia (MJ/Qtd.)],MATCH(C11,Tabela1[Fuel],0)),IF(G11="GJ",INDEX(Tabela1[Energia (GJ/Qtd.)2],MATCH(C11,Tabela1[Fuel],0)),"XXX"))</f>
        <v>3.7521600000000002E-2</v>
      </c>
      <c r="I11" s="9">
        <f>O11*'PAG100 FE GE'!$E$2+P11*'PAG100 FE GE'!$E$3+Q11*'PAG100 FE GE'!$E$4</f>
        <v>74620.173999999999</v>
      </c>
      <c r="J11" s="9">
        <f>O11*'PAG20 FE GE'!$E$2+P11*'PAG20 FE GE'!$E$3+Q11*'PAG20 FE GE'!$E$4</f>
        <v>88225.531999999992</v>
      </c>
      <c r="K11" s="9">
        <f>O11*'PAG100 FE GE'!$D$2+P11*'PAG100 FE GE'!$D$3+Q11*'PAG100 FE GE'!$D$4</f>
        <v>74345.38</v>
      </c>
      <c r="L11" s="9">
        <f>O11*'PAG20 FE GE'!$D$2+P11*'PAG20 FE GE'!$D$3+Q11*'PAG20 FE GE'!$D$4</f>
        <v>88857.66</v>
      </c>
      <c r="M11" s="9">
        <f>O11*'PAG100 FE GE'!$C$2+P11*'PAG100 FE GE'!$C$3+Q11*'PAG100 FE GE'!$C$4</f>
        <v>74818.42</v>
      </c>
      <c r="N11" s="9">
        <f>O11*'PAG20 FE GE'!$C$2+P11*'PAG20 FE GE'!$C$3+Q11*'PAG20 FE GE'!$C$4</f>
        <v>86477.78</v>
      </c>
      <c r="O11" s="9">
        <f>57.25*1000</f>
        <v>57250</v>
      </c>
      <c r="P11" s="9">
        <f>0.25526*1000</f>
        <v>255.26</v>
      </c>
      <c r="Q11" s="9">
        <f>0.03754*1000</f>
        <v>37.54</v>
      </c>
      <c r="R11" s="9">
        <f>X11*'PAG100 FE GE'!$E$2+Y11*'PAG100 FE GE'!$E$3+Z11*'PAG100 FE GE'!$E$4</f>
        <v>2799.8683207583999</v>
      </c>
      <c r="S11" s="9">
        <f>X11*'PAG20 FE GE'!$E$2+Y11*'PAG20 FE GE'!$E$3+Z11*'PAG20 FE GE'!$E$4</f>
        <v>3310.3631214912002</v>
      </c>
      <c r="T11" s="9">
        <f>X11*'PAG100 FE GE'!$D$2+Y11*'PAG100 FE GE'!$D$3+Z11*'PAG100 FE GE'!$D$4</f>
        <v>2789.5576102080004</v>
      </c>
      <c r="U11" s="9">
        <f>X11*'PAG20 FE GE'!$D$2+Y11*'PAG20 FE GE'!$D$3+Z11*'PAG20 FE GE'!$D$4</f>
        <v>3334.0815754559999</v>
      </c>
      <c r="V11" s="9">
        <f>X11*'PAG100 FE GE'!$C$2+Y11*'PAG100 FE GE'!$C$3+Z11*'PAG100 FE GE'!$C$4</f>
        <v>2807.3068278720002</v>
      </c>
      <c r="W11" s="9">
        <f>X11*'PAG20 FE GE'!$C$2+Y11*'PAG20 FE GE'!$C$3+Z11*'PAG20 FE GE'!$C$4</f>
        <v>3244.7846700480004</v>
      </c>
      <c r="X11" s="9">
        <f t="shared" ref="X11" si="5">O11*$H11</f>
        <v>2148.1116000000002</v>
      </c>
      <c r="Y11" s="9">
        <f t="shared" ref="Y11" si="6">P11*$H11</f>
        <v>9.5777636160000004</v>
      </c>
      <c r="Z11" s="9">
        <f t="shared" ref="Z11" si="7">Q11*$H11</f>
        <v>1.408560864</v>
      </c>
      <c r="AA11" s="9">
        <f>AG11*'PAG100 FE GE'!$E$2+AH11*'PAG100 FE GE'!$E$3+AI11*'PAG100 FE GE'!$E$4</f>
        <v>1987.91</v>
      </c>
      <c r="AB11" s="9">
        <f>AG11*'PAG20 FE GE'!$E$2+AH11*'PAG20 FE GE'!$E$3+AI11*'PAG20 FE GE'!$E$4</f>
        <v>2350.35</v>
      </c>
      <c r="AC11" s="9">
        <f>AG11*'PAG100 FE GE'!$D$2+AH11*'PAG100 FE GE'!$D$3+AI11*'PAG100 FE GE'!$D$4</f>
        <v>1980.5900000000001</v>
      </c>
      <c r="AD11" s="9">
        <f>AG11*'PAG20 FE GE'!$D$2+AH11*'PAG20 FE GE'!$D$3+AI11*'PAG20 FE GE'!$D$4</f>
        <v>2367.19</v>
      </c>
      <c r="AE11" s="9">
        <f>AG11*'PAG100 FE GE'!$C$2+AH11*'PAG100 FE GE'!$C$3+AI11*'PAG100 FE GE'!$C$4</f>
        <v>1993.19</v>
      </c>
      <c r="AF11" s="9">
        <f>AG11*'PAG20 FE GE'!$C$2+AH11*'PAG20 FE GE'!$C$3+AI11*'PAG20 FE GE'!$C$4</f>
        <v>2303.79</v>
      </c>
      <c r="AG11" s="6">
        <v>1525.19</v>
      </c>
      <c r="AH11" s="6">
        <v>6.8</v>
      </c>
      <c r="AI11" s="6">
        <v>1</v>
      </c>
      <c r="AJ11" s="13">
        <f>AG11/X11*100</f>
        <v>71.001432141607538</v>
      </c>
      <c r="AK11" t="s">
        <v>424</v>
      </c>
      <c r="AL11" t="s">
        <v>790</v>
      </c>
    </row>
    <row r="12" spans="1:38" ht="15.75" thickBot="1" x14ac:dyDescent="0.3">
      <c r="A12" s="4" t="s">
        <v>2</v>
      </c>
      <c r="B12" s="7" t="s">
        <v>13</v>
      </c>
      <c r="C12" s="5" t="s">
        <v>92</v>
      </c>
      <c r="D12" s="6" t="s">
        <v>9</v>
      </c>
      <c r="E12" s="6" t="str">
        <f t="shared" si="1"/>
        <v>Pesado de Passageiros M3: I : GNC : E2</v>
      </c>
      <c r="F12" s="6" t="s">
        <v>56</v>
      </c>
      <c r="G12" s="6" t="s">
        <v>96</v>
      </c>
      <c r="H12" s="9">
        <f>IF(G12="MJ",INDEX(Tabela1[Energia (MJ/Qtd.)],MATCH(C12,Tabela1[Fuel],0)),IF(G12="GJ",INDEX(Tabela1[Energia (GJ/Qtd.)2],MATCH(C12,Tabela1[Fuel],0)),"XXX"))</f>
        <v>3.7521600000000002E-2</v>
      </c>
      <c r="I12" s="17">
        <v>-1</v>
      </c>
      <c r="J12" s="17">
        <v>-1</v>
      </c>
      <c r="K12" s="17">
        <v>-1</v>
      </c>
      <c r="L12" s="17">
        <v>-1</v>
      </c>
      <c r="M12" s="17">
        <v>-1</v>
      </c>
      <c r="N12" s="17">
        <v>-1</v>
      </c>
      <c r="O12" s="17">
        <v>-1</v>
      </c>
      <c r="P12" s="17">
        <v>-1</v>
      </c>
      <c r="Q12" s="17">
        <v>-1</v>
      </c>
      <c r="R12" s="17">
        <f>X12*'PAG100 FE GE'!$E$2+Y12*'PAG100 FE GE'!$E$3+Z12*'PAG100 FE GE'!$E$4</f>
        <v>-301.89999999999998</v>
      </c>
      <c r="S12" s="17">
        <f>X12*'PAG20 FE GE'!$E$2+Y12*'PAG20 FE GE'!$E$3+Z12*'PAG20 FE GE'!$E$4</f>
        <v>-355.2</v>
      </c>
      <c r="T12" s="17">
        <f>X12*'PAG100 FE GE'!$D$2+Y12*'PAG100 FE GE'!$D$3+Z12*'PAG100 FE GE'!$D$4</f>
        <v>-294</v>
      </c>
      <c r="U12" s="17">
        <f>X12*'PAG20 FE GE'!$D$2+Y12*'PAG20 FE GE'!$D$3+Z12*'PAG20 FE GE'!$D$4</f>
        <v>-350</v>
      </c>
      <c r="V12" s="17">
        <f>X12*'PAG100 FE GE'!$C$2+Y12*'PAG100 FE GE'!$C$3+Z12*'PAG100 FE GE'!$C$4</f>
        <v>-324</v>
      </c>
      <c r="W12" s="17">
        <f>X12*'PAG20 FE GE'!$C$2+Y12*'PAG20 FE GE'!$C$3+Z12*'PAG20 FE GE'!$C$4</f>
        <v>-362</v>
      </c>
      <c r="X12" s="17">
        <v>-1</v>
      </c>
      <c r="Y12" s="17">
        <v>-1</v>
      </c>
      <c r="Z12" s="17">
        <v>-1</v>
      </c>
      <c r="AA12" s="17">
        <f>AG12*'PAG100 FE GE'!$E$2+AH12*'PAG100 FE GE'!$E$3+AI12*'PAG100 FE GE'!$E$4</f>
        <v>-301.89999999999998</v>
      </c>
      <c r="AB12" s="17">
        <f>AG12*'PAG20 FE GE'!$E$2+AH12*'PAG20 FE GE'!$E$3+AI12*'PAG20 FE GE'!$E$4</f>
        <v>-355.2</v>
      </c>
      <c r="AC12" s="17">
        <f>AG12*'PAG100 FE GE'!$D$2+AH12*'PAG100 FE GE'!$D$3+AI12*'PAG100 FE GE'!$D$4</f>
        <v>-294</v>
      </c>
      <c r="AD12" s="17">
        <f>AG12*'PAG20 FE GE'!$D$2+AH12*'PAG20 FE GE'!$D$3+AI12*'PAG20 FE GE'!$D$4</f>
        <v>-350</v>
      </c>
      <c r="AE12" s="17">
        <f>AG12*'PAG100 FE GE'!$C$2+AH12*'PAG100 FE GE'!$C$3+AI12*'PAG100 FE GE'!$C$4</f>
        <v>-324</v>
      </c>
      <c r="AF12" s="17">
        <f>AG12*'PAG20 FE GE'!$C$2+AH12*'PAG20 FE GE'!$C$3+AI12*'PAG20 FE GE'!$C$4</f>
        <v>-362</v>
      </c>
      <c r="AG12" s="17">
        <v>-1</v>
      </c>
      <c r="AH12" s="17">
        <v>-1</v>
      </c>
      <c r="AI12" s="17">
        <v>-1</v>
      </c>
      <c r="AJ12" s="17">
        <v>-1</v>
      </c>
      <c r="AK12" t="s">
        <v>424</v>
      </c>
      <c r="AL12" t="s">
        <v>790</v>
      </c>
    </row>
    <row r="13" spans="1:38" ht="15.75" thickBot="1" x14ac:dyDescent="0.3">
      <c r="A13" s="4" t="s">
        <v>2</v>
      </c>
      <c r="B13" s="7" t="s">
        <v>13</v>
      </c>
      <c r="C13" s="5" t="s">
        <v>92</v>
      </c>
      <c r="D13" s="6" t="s">
        <v>10</v>
      </c>
      <c r="E13" s="6" t="str">
        <f t="shared" si="1"/>
        <v>Pesado de Passageiros M3: I : GNC : E3</v>
      </c>
      <c r="F13" s="6" t="s">
        <v>56</v>
      </c>
      <c r="G13" s="6" t="s">
        <v>96</v>
      </c>
      <c r="H13" s="9">
        <f>IF(G13="MJ",INDEX(Tabela1[Energia (MJ/Qtd.)],MATCH(C13,Tabela1[Fuel],0)),IF(G13="GJ",INDEX(Tabela1[Energia (GJ/Qtd.)2],MATCH(C13,Tabela1[Fuel],0)),"XXX"))</f>
        <v>3.7521600000000002E-2</v>
      </c>
      <c r="I13" s="9">
        <f>O13*'PAG100 FE GE'!$E$2+P13*'PAG100 FE GE'!$E$3+Q13*'PAG100 FE GE'!$E$4</f>
        <v>71405.888999999996</v>
      </c>
      <c r="J13" s="9">
        <f>O13*'PAG20 FE GE'!$E$2+P13*'PAG20 FE GE'!$E$3+Q13*'PAG20 FE GE'!$E$4</f>
        <v>74529.801999999996</v>
      </c>
      <c r="K13" s="9">
        <f>O13*'PAG100 FE GE'!$D$2+P13*'PAG100 FE GE'!$D$3+Q13*'PAG100 FE GE'!$D$4</f>
        <v>71045.430000000008</v>
      </c>
      <c r="L13" s="9">
        <f>O13*'PAG20 FE GE'!$D$2+P13*'PAG20 FE GE'!$D$3+Q13*'PAG20 FE GE'!$D$4</f>
        <v>74340.41</v>
      </c>
      <c r="M13" s="9">
        <f>O13*'PAG100 FE GE'!$C$2+P13*'PAG100 FE GE'!$C$3+Q13*'PAG100 FE GE'!$C$4</f>
        <v>72380.67</v>
      </c>
      <c r="N13" s="9">
        <f>O13*'PAG20 FE GE'!$C$2+P13*'PAG20 FE GE'!$C$3+Q13*'PAG20 FE GE'!$C$4</f>
        <v>74723.23</v>
      </c>
      <c r="O13" s="9">
        <f>57.27*1000</f>
        <v>57270</v>
      </c>
      <c r="P13" s="9">
        <f>0.05861*1000</f>
        <v>58.61</v>
      </c>
      <c r="Q13" s="9">
        <f>0.04579*1000</f>
        <v>45.79</v>
      </c>
      <c r="R13" s="9">
        <f>X13*'PAG100 FE GE'!$E$2+Y13*'PAG100 FE GE'!$E$3+Z13*'PAG100 FE GE'!$E$4</f>
        <v>2679.2632047023999</v>
      </c>
      <c r="S13" s="9">
        <f>X13*'PAG20 FE GE'!$E$2+Y13*'PAG20 FE GE'!$E$3+Z13*'PAG20 FE GE'!$E$4</f>
        <v>2796.4774187231997</v>
      </c>
      <c r="T13" s="9">
        <f>X13*'PAG100 FE GE'!$D$2+Y13*'PAG100 FE GE'!$D$3+Z13*'PAG100 FE GE'!$D$4</f>
        <v>2665.7382062880001</v>
      </c>
      <c r="U13" s="9">
        <f>X13*'PAG20 FE GE'!$D$2+Y13*'PAG20 FE GE'!$D$3+Z13*'PAG20 FE GE'!$D$4</f>
        <v>2789.3711278559999</v>
      </c>
      <c r="V13" s="9">
        <f>X13*'PAG100 FE GE'!$C$2+Y13*'PAG100 FE GE'!$C$3+Z13*'PAG100 FE GE'!$C$4</f>
        <v>2715.8385474719998</v>
      </c>
      <c r="W13" s="9">
        <f>X13*'PAG20 FE GE'!$C$2+Y13*'PAG20 FE GE'!$C$3+Z13*'PAG20 FE GE'!$C$4</f>
        <v>2803.735146768</v>
      </c>
      <c r="X13" s="9">
        <f t="shared" ref="X13" si="8">O13*$H13</f>
        <v>2148.862032</v>
      </c>
      <c r="Y13" s="9">
        <f t="shared" ref="Y13" si="9">P13*$H13</f>
        <v>2.1991409760000002</v>
      </c>
      <c r="Z13" s="9">
        <f t="shared" ref="Z13" si="10">Q13*$H13</f>
        <v>1.7181140640000001</v>
      </c>
      <c r="AA13" s="9">
        <f>AG13*'PAG100 FE GE'!$E$2+AH13*'PAG100 FE GE'!$E$3+AI13*'PAG100 FE GE'!$E$4</f>
        <v>1559.5719999999999</v>
      </c>
      <c r="AB13" s="9">
        <f>AG13*'PAG20 FE GE'!$E$2+AH13*'PAG20 FE GE'!$E$3+AI13*'PAG20 FE GE'!$E$4</f>
        <v>1627.7959999999998</v>
      </c>
      <c r="AC13" s="9">
        <f>AG13*'PAG100 FE GE'!$D$2+AH13*'PAG100 FE GE'!$D$3+AI13*'PAG100 FE GE'!$D$4</f>
        <v>1551.6999999999998</v>
      </c>
      <c r="AD13" s="9">
        <f>AG13*'PAG20 FE GE'!$D$2+AH13*'PAG20 FE GE'!$D$3+AI13*'PAG20 FE GE'!$D$4</f>
        <v>1623.6599999999999</v>
      </c>
      <c r="AE13" s="9">
        <f>AG13*'PAG100 FE GE'!$C$2+AH13*'PAG100 FE GE'!$C$3+AI13*'PAG100 FE GE'!$C$4</f>
        <v>1580.86</v>
      </c>
      <c r="AF13" s="9">
        <f>AG13*'PAG20 FE GE'!$C$2+AH13*'PAG20 FE GE'!$C$3+AI13*'PAG20 FE GE'!$C$4</f>
        <v>1632.02</v>
      </c>
      <c r="AG13" s="6">
        <v>1250.8599999999999</v>
      </c>
      <c r="AH13" s="6">
        <v>1.28</v>
      </c>
      <c r="AI13" s="6">
        <v>1</v>
      </c>
      <c r="AJ13" s="13">
        <f>AG13/X13*100</f>
        <v>58.21034488825665</v>
      </c>
      <c r="AK13" t="s">
        <v>424</v>
      </c>
      <c r="AL13" t="s">
        <v>790</v>
      </c>
    </row>
    <row r="14" spans="1:38" ht="15.75" thickBot="1" x14ac:dyDescent="0.3">
      <c r="A14" s="4" t="s">
        <v>2</v>
      </c>
      <c r="B14" s="7" t="s">
        <v>13</v>
      </c>
      <c r="C14" s="5" t="s">
        <v>92</v>
      </c>
      <c r="D14" s="6" t="s">
        <v>4</v>
      </c>
      <c r="E14" s="6" t="str">
        <f t="shared" si="1"/>
        <v>Pesado de Passageiros M3: I : GNC : E4</v>
      </c>
      <c r="F14" s="6" t="s">
        <v>56</v>
      </c>
      <c r="G14" s="6" t="s">
        <v>96</v>
      </c>
      <c r="H14" s="9">
        <f>IF(G14="MJ",INDEX(Tabela1[Energia (MJ/Qtd.)],MATCH(C14,Tabela1[Fuel],0)),IF(G14="GJ",INDEX(Tabela1[Energia (GJ/Qtd.)2],MATCH(C14,Tabela1[Fuel],0)),"XXX"))</f>
        <v>3.7521600000000002E-2</v>
      </c>
      <c r="I14" s="17">
        <v>-1</v>
      </c>
      <c r="J14" s="17">
        <v>-1</v>
      </c>
      <c r="K14" s="17">
        <v>-1</v>
      </c>
      <c r="L14" s="17">
        <v>-1</v>
      </c>
      <c r="M14" s="17">
        <v>-1</v>
      </c>
      <c r="N14" s="17">
        <v>-1</v>
      </c>
      <c r="O14" s="17">
        <v>-1</v>
      </c>
      <c r="P14" s="17">
        <v>-1</v>
      </c>
      <c r="Q14" s="17">
        <v>-1</v>
      </c>
      <c r="R14" s="17">
        <f>X14*'PAG100 FE GE'!$E$2+Y14*'PAG100 FE GE'!$E$3+Z14*'PAG100 FE GE'!$E$4</f>
        <v>-301.89999999999998</v>
      </c>
      <c r="S14" s="17">
        <f>X14*'PAG20 FE GE'!$E$2+Y14*'PAG20 FE GE'!$E$3+Z14*'PAG20 FE GE'!$E$4</f>
        <v>-355.2</v>
      </c>
      <c r="T14" s="17">
        <f>X14*'PAG100 FE GE'!$D$2+Y14*'PAG100 FE GE'!$D$3+Z14*'PAG100 FE GE'!$D$4</f>
        <v>-294</v>
      </c>
      <c r="U14" s="17">
        <f>X14*'PAG20 FE GE'!$D$2+Y14*'PAG20 FE GE'!$D$3+Z14*'PAG20 FE GE'!$D$4</f>
        <v>-350</v>
      </c>
      <c r="V14" s="17">
        <f>X14*'PAG100 FE GE'!$C$2+Y14*'PAG100 FE GE'!$C$3+Z14*'PAG100 FE GE'!$C$4</f>
        <v>-324</v>
      </c>
      <c r="W14" s="17">
        <f>X14*'PAG20 FE GE'!$C$2+Y14*'PAG20 FE GE'!$C$3+Z14*'PAG20 FE GE'!$C$4</f>
        <v>-362</v>
      </c>
      <c r="X14" s="17">
        <v>-1</v>
      </c>
      <c r="Y14" s="17">
        <v>-1</v>
      </c>
      <c r="Z14" s="17">
        <v>-1</v>
      </c>
      <c r="AA14" s="17">
        <f>AG14*'PAG100 FE GE'!$E$2+AH14*'PAG100 FE GE'!$E$3+AI14*'PAG100 FE GE'!$E$4</f>
        <v>-301.89999999999998</v>
      </c>
      <c r="AB14" s="17">
        <f>AG14*'PAG20 FE GE'!$E$2+AH14*'PAG20 FE GE'!$E$3+AI14*'PAG20 FE GE'!$E$4</f>
        <v>-355.2</v>
      </c>
      <c r="AC14" s="17">
        <f>AG14*'PAG100 FE GE'!$D$2+AH14*'PAG100 FE GE'!$D$3+AI14*'PAG100 FE GE'!$D$4</f>
        <v>-294</v>
      </c>
      <c r="AD14" s="17">
        <f>AG14*'PAG20 FE GE'!$D$2+AH14*'PAG20 FE GE'!$D$3+AI14*'PAG20 FE GE'!$D$4</f>
        <v>-350</v>
      </c>
      <c r="AE14" s="17">
        <f>AG14*'PAG100 FE GE'!$C$2+AH14*'PAG100 FE GE'!$C$3+AI14*'PAG100 FE GE'!$C$4</f>
        <v>-324</v>
      </c>
      <c r="AF14" s="17">
        <f>AG14*'PAG20 FE GE'!$C$2+AH14*'PAG20 FE GE'!$C$3+AI14*'PAG20 FE GE'!$C$4</f>
        <v>-362</v>
      </c>
      <c r="AG14" s="17">
        <v>-1</v>
      </c>
      <c r="AH14" s="17">
        <v>-1</v>
      </c>
      <c r="AI14" s="17">
        <v>-1</v>
      </c>
      <c r="AJ14" s="17">
        <v>-1</v>
      </c>
      <c r="AK14" t="s">
        <v>424</v>
      </c>
      <c r="AL14" t="s">
        <v>790</v>
      </c>
    </row>
    <row r="15" spans="1:38" ht="15.75" thickBot="1" x14ac:dyDescent="0.3">
      <c r="A15" s="4" t="s">
        <v>2</v>
      </c>
      <c r="B15" s="7" t="s">
        <v>13</v>
      </c>
      <c r="C15" s="5" t="s">
        <v>92</v>
      </c>
      <c r="D15" s="6" t="s">
        <v>5</v>
      </c>
      <c r="E15" s="6" t="str">
        <f t="shared" si="1"/>
        <v>Pesado de Passageiros M3: I : GNC : E5</v>
      </c>
      <c r="F15" s="6" t="s">
        <v>56</v>
      </c>
      <c r="G15" s="6" t="s">
        <v>96</v>
      </c>
      <c r="H15" s="9">
        <f>IF(G15="MJ",INDEX(Tabela1[Energia (MJ/Qtd.)],MATCH(C15,Tabela1[Fuel],0)),IF(G15="GJ",INDEX(Tabela1[Energia (GJ/Qtd.)2],MATCH(C15,Tabela1[Fuel],0)),"XXX"))</f>
        <v>3.7521600000000002E-2</v>
      </c>
      <c r="I15" s="9">
        <f>O15*'PAG100 FE GE'!$E$2+P15*'PAG100 FE GE'!$E$3+Q15*'PAG100 FE GE'!$E$4</f>
        <v>70061.616000000009</v>
      </c>
      <c r="J15" s="9">
        <f>O15*'PAG20 FE GE'!$E$2+P15*'PAG20 FE GE'!$E$3+Q15*'PAG20 FE GE'!$E$4</f>
        <v>72286.358000000007</v>
      </c>
      <c r="K15" s="9">
        <f>O15*'PAG100 FE GE'!$D$2+P15*'PAG100 FE GE'!$D$3+Q15*'PAG100 FE GE'!$D$4</f>
        <v>69725.070000000007</v>
      </c>
      <c r="L15" s="9">
        <f>O15*'PAG20 FE GE'!$D$2+P15*'PAG20 FE GE'!$D$3+Q15*'PAG20 FE GE'!$D$4</f>
        <v>72061.66</v>
      </c>
      <c r="M15" s="9">
        <f>O15*'PAG100 FE GE'!$C$2+P15*'PAG100 FE GE'!$C$3+Q15*'PAG100 FE GE'!$C$4</f>
        <v>71005.320000000007</v>
      </c>
      <c r="N15" s="9">
        <f>O15*'PAG20 FE GE'!$C$2+P15*'PAG20 FE GE'!$C$3+Q15*'PAG20 FE GE'!$C$4</f>
        <v>72583.789999999994</v>
      </c>
      <c r="O15" s="9">
        <f>57.27*1000</f>
        <v>57270</v>
      </c>
      <c r="P15" s="9">
        <f>0.04174*1000</f>
        <v>41.74</v>
      </c>
      <c r="Q15" s="9">
        <f>0.04259*1000</f>
        <v>42.59</v>
      </c>
      <c r="R15" s="9">
        <f>X15*'PAG100 FE GE'!$E$2+Y15*'PAG100 FE GE'!$E$3+Z15*'PAG100 FE GE'!$E$4</f>
        <v>2628.8239309055998</v>
      </c>
      <c r="S15" s="9">
        <f>X15*'PAG20 FE GE'!$E$2+Y15*'PAG20 FE GE'!$E$3+Z15*'PAG20 FE GE'!$E$4</f>
        <v>2712.2998103328</v>
      </c>
      <c r="T15" s="9">
        <f>X15*'PAG100 FE GE'!$D$2+Y15*'PAG100 FE GE'!$D$3+Z15*'PAG100 FE GE'!$D$4</f>
        <v>2616.1961865120002</v>
      </c>
      <c r="U15" s="9">
        <f>X15*'PAG20 FE GE'!$D$2+Y15*'PAG20 FE GE'!$D$3+Z15*'PAG20 FE GE'!$D$4</f>
        <v>2703.8687818560002</v>
      </c>
      <c r="V15" s="9">
        <f>X15*'PAG100 FE GE'!$C$2+Y15*'PAG100 FE GE'!$C$3+Z15*'PAG100 FE GE'!$C$4</f>
        <v>2664.2332149120002</v>
      </c>
      <c r="W15" s="9">
        <f>X15*'PAG20 FE GE'!$C$2+Y15*'PAG20 FE GE'!$C$3+Z15*'PAG20 FE GE'!$C$4</f>
        <v>2723.4599348639999</v>
      </c>
      <c r="X15" s="9">
        <f t="shared" ref="X15" si="11">O15*$H15</f>
        <v>2148.862032</v>
      </c>
      <c r="Y15" s="9">
        <f t="shared" ref="Y15" si="12">P15*$H15</f>
        <v>1.5661515840000002</v>
      </c>
      <c r="Z15" s="9">
        <f t="shared" ref="Z15" si="13">Q15*$H15</f>
        <v>1.5980449440000002</v>
      </c>
      <c r="AA15" s="9">
        <f>AG15*'PAG100 FE GE'!$E$2+AH15*'PAG100 FE GE'!$E$3+AI15*'PAG100 FE GE'!$E$4</f>
        <v>1644.942</v>
      </c>
      <c r="AB15" s="9">
        <f>AG15*'PAG20 FE GE'!$E$2+AH15*'PAG20 FE GE'!$E$3+AI15*'PAG20 FE GE'!$E$4</f>
        <v>1697.1759999999999</v>
      </c>
      <c r="AC15" s="9">
        <f>AG15*'PAG100 FE GE'!$D$2+AH15*'PAG100 FE GE'!$D$3+AI15*'PAG100 FE GE'!$D$4</f>
        <v>1637.04</v>
      </c>
      <c r="AD15" s="9">
        <f>AG15*'PAG20 FE GE'!$D$2+AH15*'PAG20 FE GE'!$D$3+AI15*'PAG20 FE GE'!$D$4</f>
        <v>1691.8999999999999</v>
      </c>
      <c r="AE15" s="9">
        <f>AG15*'PAG100 FE GE'!$C$2+AH15*'PAG100 FE GE'!$C$3+AI15*'PAG100 FE GE'!$C$4</f>
        <v>1667.1</v>
      </c>
      <c r="AF15" s="9">
        <f>AG15*'PAG20 FE GE'!$C$2+AH15*'PAG20 FE GE'!$C$3+AI15*'PAG20 FE GE'!$C$4</f>
        <v>1704.1599999999999</v>
      </c>
      <c r="AG15" s="6">
        <v>1344.6</v>
      </c>
      <c r="AH15" s="6">
        <v>0.98</v>
      </c>
      <c r="AI15" s="6">
        <v>1</v>
      </c>
      <c r="AJ15" s="13">
        <f>AG15/X15*100</f>
        <v>62.572653803583044</v>
      </c>
      <c r="AK15" t="s">
        <v>424</v>
      </c>
      <c r="AL15" t="s">
        <v>790</v>
      </c>
    </row>
    <row r="16" spans="1:38" ht="15.75" thickBot="1" x14ac:dyDescent="0.3">
      <c r="A16" s="4" t="s">
        <v>2</v>
      </c>
      <c r="B16" s="7" t="s">
        <v>13</v>
      </c>
      <c r="C16" s="5" t="s">
        <v>92</v>
      </c>
      <c r="D16" s="6" t="s">
        <v>6</v>
      </c>
      <c r="E16" s="6" t="str">
        <f t="shared" si="1"/>
        <v>Pesado de Passageiros M3: I : GNC : E6</v>
      </c>
      <c r="F16" s="6" t="s">
        <v>56</v>
      </c>
      <c r="G16" s="6" t="s">
        <v>96</v>
      </c>
      <c r="H16" s="9">
        <f>IF(G16="MJ",INDEX(Tabela1[Energia (MJ/Qtd.)],MATCH(C16,Tabela1[Fuel],0)),IF(G16="GJ",INDEX(Tabela1[Energia (GJ/Qtd.)2],MATCH(C16,Tabela1[Fuel],0)),"XXX"))</f>
        <v>3.7521600000000002E-2</v>
      </c>
      <c r="I16" s="17">
        <v>-1</v>
      </c>
      <c r="J16" s="17">
        <v>-1</v>
      </c>
      <c r="K16" s="17">
        <v>-1</v>
      </c>
      <c r="L16" s="17">
        <v>-1</v>
      </c>
      <c r="M16" s="17">
        <v>-1</v>
      </c>
      <c r="N16" s="17">
        <v>-1</v>
      </c>
      <c r="O16" s="17">
        <v>-1</v>
      </c>
      <c r="P16" s="17">
        <v>-1</v>
      </c>
      <c r="Q16" s="17">
        <v>-1</v>
      </c>
      <c r="R16" s="17">
        <f>X16*'PAG100 FE GE'!$E$2+Y16*'PAG100 FE GE'!$E$3+Z16*'PAG100 FE GE'!$E$4</f>
        <v>-301.89999999999998</v>
      </c>
      <c r="S16" s="17">
        <f>X16*'PAG20 FE GE'!$E$2+Y16*'PAG20 FE GE'!$E$3+Z16*'PAG20 FE GE'!$E$4</f>
        <v>-355.2</v>
      </c>
      <c r="T16" s="17">
        <f>X16*'PAG100 FE GE'!$D$2+Y16*'PAG100 FE GE'!$D$3+Z16*'PAG100 FE GE'!$D$4</f>
        <v>-294</v>
      </c>
      <c r="U16" s="17">
        <f>X16*'PAG20 FE GE'!$D$2+Y16*'PAG20 FE GE'!$D$3+Z16*'PAG20 FE GE'!$D$4</f>
        <v>-350</v>
      </c>
      <c r="V16" s="17">
        <f>X16*'PAG100 FE GE'!$C$2+Y16*'PAG100 FE GE'!$C$3+Z16*'PAG100 FE GE'!$C$4</f>
        <v>-324</v>
      </c>
      <c r="W16" s="17">
        <f>X16*'PAG20 FE GE'!$C$2+Y16*'PAG20 FE GE'!$C$3+Z16*'PAG20 FE GE'!$C$4</f>
        <v>-362</v>
      </c>
      <c r="X16" s="17">
        <v>-1</v>
      </c>
      <c r="Y16" s="17">
        <v>-1</v>
      </c>
      <c r="Z16" s="17">
        <v>-1</v>
      </c>
      <c r="AA16" s="17">
        <f>AG16*'PAG100 FE GE'!$E$2+AH16*'PAG100 FE GE'!$E$3+AI16*'PAG100 FE GE'!$E$4</f>
        <v>-301.89999999999998</v>
      </c>
      <c r="AB16" s="17">
        <f>AG16*'PAG20 FE GE'!$E$2+AH16*'PAG20 FE GE'!$E$3+AI16*'PAG20 FE GE'!$E$4</f>
        <v>-355.2</v>
      </c>
      <c r="AC16" s="17">
        <f>AG16*'PAG100 FE GE'!$D$2+AH16*'PAG100 FE GE'!$D$3+AI16*'PAG100 FE GE'!$D$4</f>
        <v>-294</v>
      </c>
      <c r="AD16" s="17">
        <f>AG16*'PAG20 FE GE'!$D$2+AH16*'PAG20 FE GE'!$D$3+AI16*'PAG20 FE GE'!$D$4</f>
        <v>-350</v>
      </c>
      <c r="AE16" s="17">
        <f>AG16*'PAG100 FE GE'!$C$2+AH16*'PAG100 FE GE'!$C$3+AI16*'PAG100 FE GE'!$C$4</f>
        <v>-324</v>
      </c>
      <c r="AF16" s="17">
        <f>AG16*'PAG20 FE GE'!$C$2+AH16*'PAG20 FE GE'!$C$3+AI16*'PAG20 FE GE'!$C$4</f>
        <v>-362</v>
      </c>
      <c r="AG16" s="17">
        <v>-1</v>
      </c>
      <c r="AH16" s="17">
        <v>-1</v>
      </c>
      <c r="AI16" s="17">
        <v>-1</v>
      </c>
      <c r="AJ16" s="17">
        <v>-1</v>
      </c>
      <c r="AK16" t="s">
        <v>424</v>
      </c>
      <c r="AL16" t="s">
        <v>790</v>
      </c>
    </row>
    <row r="17" spans="1:38" ht="15.75" thickBot="1" x14ac:dyDescent="0.3">
      <c r="A17" s="4" t="s">
        <v>2</v>
      </c>
      <c r="B17" s="7" t="s">
        <v>13</v>
      </c>
      <c r="C17" s="5" t="s">
        <v>92</v>
      </c>
      <c r="D17" s="6" t="s">
        <v>81</v>
      </c>
      <c r="E17" s="6" t="str">
        <f t="shared" si="1"/>
        <v>Pesado de Passageiros M3: I : GNC : E6 D/E E7</v>
      </c>
      <c r="F17" s="6" t="s">
        <v>56</v>
      </c>
      <c r="G17" s="6" t="s">
        <v>96</v>
      </c>
      <c r="H17" s="9">
        <f>IF(G17="MJ",INDEX(Tabela1[Energia (MJ/Qtd.)],MATCH(C17,Tabela1[Fuel],0)),IF(G17="GJ",INDEX(Tabela1[Energia (GJ/Qtd.)2],MATCH(C17,Tabela1[Fuel],0)),"XXX"))</f>
        <v>3.7521600000000002E-2</v>
      </c>
      <c r="I17" s="17">
        <v>-1</v>
      </c>
      <c r="J17" s="17">
        <v>-1</v>
      </c>
      <c r="K17" s="17">
        <v>-1</v>
      </c>
      <c r="L17" s="17">
        <v>-1</v>
      </c>
      <c r="M17" s="17">
        <v>-1</v>
      </c>
      <c r="N17" s="17">
        <v>-1</v>
      </c>
      <c r="O17" s="17">
        <v>-1</v>
      </c>
      <c r="P17" s="17">
        <v>-1</v>
      </c>
      <c r="Q17" s="17">
        <v>-1</v>
      </c>
      <c r="R17" s="17">
        <f>X17*'PAG100 FE GE'!$E$2+Y17*'PAG100 FE GE'!$E$3+Z17*'PAG100 FE GE'!$E$4</f>
        <v>-301.89999999999998</v>
      </c>
      <c r="S17" s="17">
        <f>X17*'PAG20 FE GE'!$E$2+Y17*'PAG20 FE GE'!$E$3+Z17*'PAG20 FE GE'!$E$4</f>
        <v>-355.2</v>
      </c>
      <c r="T17" s="17">
        <f>X17*'PAG100 FE GE'!$D$2+Y17*'PAG100 FE GE'!$D$3+Z17*'PAG100 FE GE'!$D$4</f>
        <v>-294</v>
      </c>
      <c r="U17" s="17">
        <f>X17*'PAG20 FE GE'!$D$2+Y17*'PAG20 FE GE'!$D$3+Z17*'PAG20 FE GE'!$D$4</f>
        <v>-350</v>
      </c>
      <c r="V17" s="17">
        <f>X17*'PAG100 FE GE'!$C$2+Y17*'PAG100 FE GE'!$C$3+Z17*'PAG100 FE GE'!$C$4</f>
        <v>-324</v>
      </c>
      <c r="W17" s="17">
        <f>X17*'PAG20 FE GE'!$C$2+Y17*'PAG20 FE GE'!$C$3+Z17*'PAG20 FE GE'!$C$4</f>
        <v>-362</v>
      </c>
      <c r="X17" s="17">
        <v>-1</v>
      </c>
      <c r="Y17" s="17">
        <v>-1</v>
      </c>
      <c r="Z17" s="17">
        <v>-1</v>
      </c>
      <c r="AA17" s="17">
        <f>AG17*'PAG100 FE GE'!$E$2+AH17*'PAG100 FE GE'!$E$3+AI17*'PAG100 FE GE'!$E$4</f>
        <v>-301.89999999999998</v>
      </c>
      <c r="AB17" s="17">
        <f>AG17*'PAG20 FE GE'!$E$2+AH17*'PAG20 FE GE'!$E$3+AI17*'PAG20 FE GE'!$E$4</f>
        <v>-355.2</v>
      </c>
      <c r="AC17" s="17">
        <f>AG17*'PAG100 FE GE'!$D$2+AH17*'PAG100 FE GE'!$D$3+AI17*'PAG100 FE GE'!$D$4</f>
        <v>-294</v>
      </c>
      <c r="AD17" s="17">
        <f>AG17*'PAG20 FE GE'!$D$2+AH17*'PAG20 FE GE'!$D$3+AI17*'PAG20 FE GE'!$D$4</f>
        <v>-350</v>
      </c>
      <c r="AE17" s="17">
        <f>AG17*'PAG100 FE GE'!$C$2+AH17*'PAG100 FE GE'!$C$3+AI17*'PAG100 FE GE'!$C$4</f>
        <v>-324</v>
      </c>
      <c r="AF17" s="17">
        <f>AG17*'PAG20 FE GE'!$C$2+AH17*'PAG20 FE GE'!$C$3+AI17*'PAG20 FE GE'!$C$4</f>
        <v>-362</v>
      </c>
      <c r="AG17" s="17">
        <v>-1</v>
      </c>
      <c r="AH17" s="17">
        <v>-1</v>
      </c>
      <c r="AI17" s="17">
        <v>-1</v>
      </c>
      <c r="AJ17" s="17">
        <v>-1</v>
      </c>
      <c r="AK17" t="s">
        <v>424</v>
      </c>
      <c r="AL17" t="s">
        <v>790</v>
      </c>
    </row>
    <row r="18" spans="1:38" ht="15.75" thickBot="1" x14ac:dyDescent="0.3">
      <c r="A18" s="4" t="s">
        <v>2</v>
      </c>
      <c r="B18" s="7" t="s">
        <v>13</v>
      </c>
      <c r="C18" s="5" t="s">
        <v>95</v>
      </c>
      <c r="D18" s="6" t="s">
        <v>8</v>
      </c>
      <c r="E18" s="6" t="str">
        <f t="shared" si="1"/>
        <v>Pesado de Passageiros M3: I : GNL : E0</v>
      </c>
      <c r="F18" s="6" t="s">
        <v>57</v>
      </c>
      <c r="G18" s="6" t="s">
        <v>96</v>
      </c>
      <c r="H18" s="9">
        <f>IF(G18="MJ",INDEX(Tabela1[Energia (MJ/Qtd.)],MATCH(C18,Tabela1[Fuel],0)),IF(G18="GJ",INDEX(Tabela1[Energia (GJ/Qtd.)2],MATCH(C18,Tabela1[Fuel],0)),"XXX"))</f>
        <v>4.8000000000000001E-2</v>
      </c>
      <c r="I18" s="17">
        <v>-1</v>
      </c>
      <c r="J18" s="17">
        <v>-1</v>
      </c>
      <c r="K18" s="17">
        <v>-1</v>
      </c>
      <c r="L18" s="17">
        <v>-1</v>
      </c>
      <c r="M18" s="17">
        <v>-1</v>
      </c>
      <c r="N18" s="17">
        <v>-1</v>
      </c>
      <c r="O18" s="17">
        <v>-1</v>
      </c>
      <c r="P18" s="17">
        <v>-1</v>
      </c>
      <c r="Q18" s="17">
        <v>-1</v>
      </c>
      <c r="R18" s="17">
        <f>X18*'PAG100 FE GE'!$E$2+Y18*'PAG100 FE GE'!$E$3+Z18*'PAG100 FE GE'!$E$4</f>
        <v>-301.89999999999998</v>
      </c>
      <c r="S18" s="17">
        <f>X18*'PAG20 FE GE'!$E$2+Y18*'PAG20 FE GE'!$E$3+Z18*'PAG20 FE GE'!$E$4</f>
        <v>-355.2</v>
      </c>
      <c r="T18" s="17">
        <f>X18*'PAG100 FE GE'!$D$2+Y18*'PAG100 FE GE'!$D$3+Z18*'PAG100 FE GE'!$D$4</f>
        <v>-294</v>
      </c>
      <c r="U18" s="17">
        <f>X18*'PAG20 FE GE'!$D$2+Y18*'PAG20 FE GE'!$D$3+Z18*'PAG20 FE GE'!$D$4</f>
        <v>-350</v>
      </c>
      <c r="V18" s="17">
        <f>X18*'PAG100 FE GE'!$C$2+Y18*'PAG100 FE GE'!$C$3+Z18*'PAG100 FE GE'!$C$4</f>
        <v>-324</v>
      </c>
      <c r="W18" s="17">
        <f>X18*'PAG20 FE GE'!$C$2+Y18*'PAG20 FE GE'!$C$3+Z18*'PAG20 FE GE'!$C$4</f>
        <v>-362</v>
      </c>
      <c r="X18" s="17">
        <v>-1</v>
      </c>
      <c r="Y18" s="17">
        <v>-1</v>
      </c>
      <c r="Z18" s="17">
        <v>-1</v>
      </c>
      <c r="AA18" s="17">
        <f>AG18*'PAG100 FE GE'!$E$2+AH18*'PAG100 FE GE'!$E$3+AI18*'PAG100 FE GE'!$E$4</f>
        <v>-301.89999999999998</v>
      </c>
      <c r="AB18" s="17">
        <f>AG18*'PAG20 FE GE'!$E$2+AH18*'PAG20 FE GE'!$E$3+AI18*'PAG20 FE GE'!$E$4</f>
        <v>-355.2</v>
      </c>
      <c r="AC18" s="17">
        <f>AG18*'PAG100 FE GE'!$D$2+AH18*'PAG100 FE GE'!$D$3+AI18*'PAG100 FE GE'!$D$4</f>
        <v>-294</v>
      </c>
      <c r="AD18" s="17">
        <f>AG18*'PAG20 FE GE'!$D$2+AH18*'PAG20 FE GE'!$D$3+AI18*'PAG20 FE GE'!$D$4</f>
        <v>-350</v>
      </c>
      <c r="AE18" s="17">
        <f>AG18*'PAG100 FE GE'!$C$2+AH18*'PAG100 FE GE'!$C$3+AI18*'PAG100 FE GE'!$C$4</f>
        <v>-324</v>
      </c>
      <c r="AF18" s="17">
        <f>AG18*'PAG20 FE GE'!$C$2+AH18*'PAG20 FE GE'!$C$3+AI18*'PAG20 FE GE'!$C$4</f>
        <v>-362</v>
      </c>
      <c r="AG18" s="17">
        <v>-1</v>
      </c>
      <c r="AH18" s="17">
        <v>-1</v>
      </c>
      <c r="AI18" s="17">
        <v>-1</v>
      </c>
      <c r="AJ18" s="17">
        <v>-1</v>
      </c>
      <c r="AK18" t="s">
        <v>424</v>
      </c>
      <c r="AL18" t="s">
        <v>790</v>
      </c>
    </row>
    <row r="19" spans="1:38" ht="15.75" thickBot="1" x14ac:dyDescent="0.3">
      <c r="A19" s="4" t="s">
        <v>2</v>
      </c>
      <c r="B19" s="7" t="s">
        <v>13</v>
      </c>
      <c r="C19" s="5" t="s">
        <v>95</v>
      </c>
      <c r="D19" s="6" t="s">
        <v>7</v>
      </c>
      <c r="E19" s="6" t="str">
        <f t="shared" si="1"/>
        <v>Pesado de Passageiros M3: I : GNL : E1</v>
      </c>
      <c r="F19" s="6" t="s">
        <v>57</v>
      </c>
      <c r="G19" s="6" t="s">
        <v>96</v>
      </c>
      <c r="H19" s="9">
        <f>IF(G19="MJ",INDEX(Tabela1[Energia (MJ/Qtd.)],MATCH(C19,Tabela1[Fuel],0)),IF(G19="GJ",INDEX(Tabela1[Energia (GJ/Qtd.)2],MATCH(C19,Tabela1[Fuel],0)),"XXX"))</f>
        <v>4.8000000000000001E-2</v>
      </c>
      <c r="I19" s="9">
        <f>O19*'PAG100 FE GE'!$E$2+P19*'PAG100 FE GE'!$E$3+Q19*'PAG100 FE GE'!$E$4</f>
        <v>74620.173999999999</v>
      </c>
      <c r="J19" s="9">
        <f>O19*'PAG20 FE GE'!$E$2+P19*'PAG20 FE GE'!$E$3+Q19*'PAG20 FE GE'!$E$4</f>
        <v>88225.531999999992</v>
      </c>
      <c r="K19" s="9">
        <f>O19*'PAG100 FE GE'!$D$2+P19*'PAG100 FE GE'!$D$3+Q19*'PAG100 FE GE'!$D$4</f>
        <v>74345.38</v>
      </c>
      <c r="L19" s="9">
        <f>O19*'PAG20 FE GE'!$D$2+P19*'PAG20 FE GE'!$D$3+Q19*'PAG20 FE GE'!$D$4</f>
        <v>88857.66</v>
      </c>
      <c r="M19" s="9">
        <f>O19*'PAG100 FE GE'!$C$2+P19*'PAG100 FE GE'!$C$3+Q19*'PAG100 FE GE'!$C$4</f>
        <v>74818.42</v>
      </c>
      <c r="N19" s="9">
        <f>O19*'PAG20 FE GE'!$C$2+P19*'PAG20 FE GE'!$C$3+Q19*'PAG20 FE GE'!$C$4</f>
        <v>86477.78</v>
      </c>
      <c r="O19" s="9">
        <f>57.25*1000</f>
        <v>57250</v>
      </c>
      <c r="P19" s="9">
        <f>0.25526*1000</f>
        <v>255.26</v>
      </c>
      <c r="Q19" s="9">
        <f>0.03754*1000</f>
        <v>37.54</v>
      </c>
      <c r="R19" s="9">
        <f>X19*'PAG100 FE GE'!$E$2+Y19*'PAG100 FE GE'!$E$3+Z19*'PAG100 FE GE'!$E$4</f>
        <v>3581.768352</v>
      </c>
      <c r="S19" s="9">
        <f>X19*'PAG20 FE GE'!$E$2+Y19*'PAG20 FE GE'!$E$3+Z19*'PAG20 FE GE'!$E$4</f>
        <v>4234.8255359999994</v>
      </c>
      <c r="T19" s="9">
        <f>X19*'PAG100 FE GE'!$D$2+Y19*'PAG100 FE GE'!$D$3+Z19*'PAG100 FE GE'!$D$4</f>
        <v>3568.5782400000003</v>
      </c>
      <c r="U19" s="9">
        <f>X19*'PAG20 FE GE'!$D$2+Y19*'PAG20 FE GE'!$D$3+Z19*'PAG20 FE GE'!$D$4</f>
        <v>4265.1676799999996</v>
      </c>
      <c r="V19" s="9">
        <f>X19*'PAG100 FE GE'!$C$2+Y19*'PAG100 FE GE'!$C$3+Z19*'PAG100 FE GE'!$C$4</f>
        <v>3591.2841600000002</v>
      </c>
      <c r="W19" s="9">
        <f>X19*'PAG20 FE GE'!$C$2+Y19*'PAG20 FE GE'!$C$3+Z19*'PAG20 FE GE'!$C$4</f>
        <v>4150.9334400000007</v>
      </c>
      <c r="X19" s="9">
        <f t="shared" ref="X19" si="14">O19*$H19</f>
        <v>2748</v>
      </c>
      <c r="Y19" s="9">
        <f t="shared" ref="Y19" si="15">P19*$H19</f>
        <v>12.25248</v>
      </c>
      <c r="Z19" s="9">
        <f t="shared" ref="Z19" si="16">Q19*$H19</f>
        <v>1.80192</v>
      </c>
      <c r="AA19" s="9">
        <f>AG19*'PAG100 FE GE'!$E$2+AH19*'PAG100 FE GE'!$E$3+AI19*'PAG100 FE GE'!$E$4</f>
        <v>1987.91</v>
      </c>
      <c r="AB19" s="9">
        <f>AG19*'PAG20 FE GE'!$E$2+AH19*'PAG20 FE GE'!$E$3+AI19*'PAG20 FE GE'!$E$4</f>
        <v>2350.35</v>
      </c>
      <c r="AC19" s="9">
        <f>AG19*'PAG100 FE GE'!$D$2+AH19*'PAG100 FE GE'!$D$3+AI19*'PAG100 FE GE'!$D$4</f>
        <v>1980.5900000000001</v>
      </c>
      <c r="AD19" s="9">
        <f>AG19*'PAG20 FE GE'!$D$2+AH19*'PAG20 FE GE'!$D$3+AI19*'PAG20 FE GE'!$D$4</f>
        <v>2367.19</v>
      </c>
      <c r="AE19" s="9">
        <f>AG19*'PAG100 FE GE'!$C$2+AH19*'PAG100 FE GE'!$C$3+AI19*'PAG100 FE GE'!$C$4</f>
        <v>1993.19</v>
      </c>
      <c r="AF19" s="9">
        <f>AG19*'PAG20 FE GE'!$C$2+AH19*'PAG20 FE GE'!$C$3+AI19*'PAG20 FE GE'!$C$4</f>
        <v>2303.79</v>
      </c>
      <c r="AG19" s="6">
        <v>1525.19</v>
      </c>
      <c r="AH19" s="6">
        <v>6.8</v>
      </c>
      <c r="AI19" s="6">
        <v>1</v>
      </c>
      <c r="AJ19" s="13">
        <f>AG19/X19*100</f>
        <v>55.501819505094616</v>
      </c>
      <c r="AK19" t="s">
        <v>424</v>
      </c>
      <c r="AL19" t="s">
        <v>790</v>
      </c>
    </row>
    <row r="20" spans="1:38" ht="15.75" thickBot="1" x14ac:dyDescent="0.3">
      <c r="A20" s="4" t="s">
        <v>2</v>
      </c>
      <c r="B20" s="7" t="s">
        <v>13</v>
      </c>
      <c r="C20" s="5" t="s">
        <v>95</v>
      </c>
      <c r="D20" s="6" t="s">
        <v>9</v>
      </c>
      <c r="E20" s="6" t="str">
        <f t="shared" si="1"/>
        <v>Pesado de Passageiros M3: I : GNL : E2</v>
      </c>
      <c r="F20" s="6" t="s">
        <v>57</v>
      </c>
      <c r="G20" s="6" t="s">
        <v>96</v>
      </c>
      <c r="H20" s="9">
        <f>IF(G20="MJ",INDEX(Tabela1[Energia (MJ/Qtd.)],MATCH(C20,Tabela1[Fuel],0)),IF(G20="GJ",INDEX(Tabela1[Energia (GJ/Qtd.)2],MATCH(C20,Tabela1[Fuel],0)),"XXX"))</f>
        <v>4.8000000000000001E-2</v>
      </c>
      <c r="I20" s="17">
        <v>-1</v>
      </c>
      <c r="J20" s="17">
        <v>-1</v>
      </c>
      <c r="K20" s="17">
        <v>-1</v>
      </c>
      <c r="L20" s="17">
        <v>-1</v>
      </c>
      <c r="M20" s="17">
        <v>-1</v>
      </c>
      <c r="N20" s="17">
        <v>-1</v>
      </c>
      <c r="O20" s="17">
        <v>-1</v>
      </c>
      <c r="P20" s="17">
        <v>-1</v>
      </c>
      <c r="Q20" s="17">
        <v>-1</v>
      </c>
      <c r="R20" s="17">
        <f>X20*'PAG100 FE GE'!$E$2+Y20*'PAG100 FE GE'!$E$3+Z20*'PAG100 FE GE'!$E$4</f>
        <v>-301.89999999999998</v>
      </c>
      <c r="S20" s="17">
        <f>X20*'PAG20 FE GE'!$E$2+Y20*'PAG20 FE GE'!$E$3+Z20*'PAG20 FE GE'!$E$4</f>
        <v>-355.2</v>
      </c>
      <c r="T20" s="17">
        <f>X20*'PAG100 FE GE'!$D$2+Y20*'PAG100 FE GE'!$D$3+Z20*'PAG100 FE GE'!$D$4</f>
        <v>-294</v>
      </c>
      <c r="U20" s="17">
        <f>X20*'PAG20 FE GE'!$D$2+Y20*'PAG20 FE GE'!$D$3+Z20*'PAG20 FE GE'!$D$4</f>
        <v>-350</v>
      </c>
      <c r="V20" s="17">
        <f>X20*'PAG100 FE GE'!$C$2+Y20*'PAG100 FE GE'!$C$3+Z20*'PAG100 FE GE'!$C$4</f>
        <v>-324</v>
      </c>
      <c r="W20" s="17">
        <f>X20*'PAG20 FE GE'!$C$2+Y20*'PAG20 FE GE'!$C$3+Z20*'PAG20 FE GE'!$C$4</f>
        <v>-362</v>
      </c>
      <c r="X20" s="17">
        <v>-1</v>
      </c>
      <c r="Y20" s="17">
        <v>-1</v>
      </c>
      <c r="Z20" s="17">
        <v>-1</v>
      </c>
      <c r="AA20" s="17">
        <f>AG20*'PAG100 FE GE'!$E$2+AH20*'PAG100 FE GE'!$E$3+AI20*'PAG100 FE GE'!$E$4</f>
        <v>-301.89999999999998</v>
      </c>
      <c r="AB20" s="17">
        <f>AG20*'PAG20 FE GE'!$E$2+AH20*'PAG20 FE GE'!$E$3+AI20*'PAG20 FE GE'!$E$4</f>
        <v>-355.2</v>
      </c>
      <c r="AC20" s="17">
        <f>AG20*'PAG100 FE GE'!$D$2+AH20*'PAG100 FE GE'!$D$3+AI20*'PAG100 FE GE'!$D$4</f>
        <v>-294</v>
      </c>
      <c r="AD20" s="17">
        <f>AG20*'PAG20 FE GE'!$D$2+AH20*'PAG20 FE GE'!$D$3+AI20*'PAG20 FE GE'!$D$4</f>
        <v>-350</v>
      </c>
      <c r="AE20" s="17">
        <f>AG20*'PAG100 FE GE'!$C$2+AH20*'PAG100 FE GE'!$C$3+AI20*'PAG100 FE GE'!$C$4</f>
        <v>-324</v>
      </c>
      <c r="AF20" s="17">
        <f>AG20*'PAG20 FE GE'!$C$2+AH20*'PAG20 FE GE'!$C$3+AI20*'PAG20 FE GE'!$C$4</f>
        <v>-362</v>
      </c>
      <c r="AG20" s="17">
        <v>-1</v>
      </c>
      <c r="AH20" s="17">
        <v>-1</v>
      </c>
      <c r="AI20" s="17">
        <v>-1</v>
      </c>
      <c r="AJ20" s="17">
        <v>-1</v>
      </c>
      <c r="AK20" t="s">
        <v>424</v>
      </c>
      <c r="AL20" t="s">
        <v>790</v>
      </c>
    </row>
    <row r="21" spans="1:38" ht="15.75" thickBot="1" x14ac:dyDescent="0.3">
      <c r="A21" s="4" t="s">
        <v>2</v>
      </c>
      <c r="B21" s="7" t="s">
        <v>13</v>
      </c>
      <c r="C21" s="5" t="s">
        <v>95</v>
      </c>
      <c r="D21" s="6" t="s">
        <v>10</v>
      </c>
      <c r="E21" s="6" t="str">
        <f t="shared" si="1"/>
        <v>Pesado de Passageiros M3: I : GNL : E3</v>
      </c>
      <c r="F21" s="6" t="s">
        <v>57</v>
      </c>
      <c r="G21" s="6" t="s">
        <v>96</v>
      </c>
      <c r="H21" s="9">
        <f>IF(G21="MJ",INDEX(Tabela1[Energia (MJ/Qtd.)],MATCH(C21,Tabela1[Fuel],0)),IF(G21="GJ",INDEX(Tabela1[Energia (GJ/Qtd.)2],MATCH(C21,Tabela1[Fuel],0)),"XXX"))</f>
        <v>4.8000000000000001E-2</v>
      </c>
      <c r="I21" s="9">
        <f>O21*'PAG100 FE GE'!$E$2+P21*'PAG100 FE GE'!$E$3+Q21*'PAG100 FE GE'!$E$4</f>
        <v>71405.888999999996</v>
      </c>
      <c r="J21" s="9">
        <f>O21*'PAG20 FE GE'!$E$2+P21*'PAG20 FE GE'!$E$3+Q21*'PAG20 FE GE'!$E$4</f>
        <v>74529.801999999996</v>
      </c>
      <c r="K21" s="9">
        <f>O21*'PAG100 FE GE'!$D$2+P21*'PAG100 FE GE'!$D$3+Q21*'PAG100 FE GE'!$D$4</f>
        <v>71045.430000000008</v>
      </c>
      <c r="L21" s="9">
        <f>O21*'PAG20 FE GE'!$D$2+P21*'PAG20 FE GE'!$D$3+Q21*'PAG20 FE GE'!$D$4</f>
        <v>74340.41</v>
      </c>
      <c r="M21" s="9">
        <f>O21*'PAG100 FE GE'!$C$2+P21*'PAG100 FE GE'!$C$3+Q21*'PAG100 FE GE'!$C$4</f>
        <v>72380.67</v>
      </c>
      <c r="N21" s="9">
        <f>O21*'PAG20 FE GE'!$C$2+P21*'PAG20 FE GE'!$C$3+Q21*'PAG20 FE GE'!$C$4</f>
        <v>74723.23</v>
      </c>
      <c r="O21" s="9">
        <f>57.27*1000</f>
        <v>57270</v>
      </c>
      <c r="P21" s="9">
        <f>0.05861*1000</f>
        <v>58.61</v>
      </c>
      <c r="Q21" s="9">
        <f>0.04579*1000</f>
        <v>45.79</v>
      </c>
      <c r="R21" s="9">
        <f>X21*'PAG100 FE GE'!$E$2+Y21*'PAG100 FE GE'!$E$3+Z21*'PAG100 FE GE'!$E$4</f>
        <v>3427.4826720000001</v>
      </c>
      <c r="S21" s="9">
        <f>X21*'PAG20 FE GE'!$E$2+Y21*'PAG20 FE GE'!$E$3+Z21*'PAG20 FE GE'!$E$4</f>
        <v>3577.4304959999999</v>
      </c>
      <c r="T21" s="9">
        <f>X21*'PAG100 FE GE'!$D$2+Y21*'PAG100 FE GE'!$D$3+Z21*'PAG100 FE GE'!$D$4</f>
        <v>3410.18064</v>
      </c>
      <c r="U21" s="9">
        <f>X21*'PAG20 FE GE'!$D$2+Y21*'PAG20 FE GE'!$D$3+Z21*'PAG20 FE GE'!$D$4</f>
        <v>3568.33968</v>
      </c>
      <c r="V21" s="9">
        <f>X21*'PAG100 FE GE'!$C$2+Y21*'PAG100 FE GE'!$C$3+Z21*'PAG100 FE GE'!$C$4</f>
        <v>3474.27216</v>
      </c>
      <c r="W21" s="9">
        <f>X21*'PAG20 FE GE'!$C$2+Y21*'PAG20 FE GE'!$C$3+Z21*'PAG20 FE GE'!$C$4</f>
        <v>3586.71504</v>
      </c>
      <c r="X21" s="9">
        <f t="shared" ref="X21" si="17">O21*$H21</f>
        <v>2748.96</v>
      </c>
      <c r="Y21" s="9">
        <f t="shared" ref="Y21" si="18">P21*$H21</f>
        <v>2.8132800000000002</v>
      </c>
      <c r="Z21" s="9">
        <f t="shared" ref="Z21" si="19">Q21*$H21</f>
        <v>2.1979199999999999</v>
      </c>
      <c r="AA21" s="9">
        <f>AG21*'PAG100 FE GE'!$E$2+AH21*'PAG100 FE GE'!$E$3+AI21*'PAG100 FE GE'!$E$4</f>
        <v>1559.5719999999999</v>
      </c>
      <c r="AB21" s="9">
        <f>AG21*'PAG20 FE GE'!$E$2+AH21*'PAG20 FE GE'!$E$3+AI21*'PAG20 FE GE'!$E$4</f>
        <v>1627.7959999999998</v>
      </c>
      <c r="AC21" s="9">
        <f>AG21*'PAG100 FE GE'!$D$2+AH21*'PAG100 FE GE'!$D$3+AI21*'PAG100 FE GE'!$D$4</f>
        <v>1551.6999999999998</v>
      </c>
      <c r="AD21" s="9">
        <f>AG21*'PAG20 FE GE'!$D$2+AH21*'PAG20 FE GE'!$D$3+AI21*'PAG20 FE GE'!$D$4</f>
        <v>1623.6599999999999</v>
      </c>
      <c r="AE21" s="9">
        <f>AG21*'PAG100 FE GE'!$C$2+AH21*'PAG100 FE GE'!$C$3+AI21*'PAG100 FE GE'!$C$4</f>
        <v>1580.86</v>
      </c>
      <c r="AF21" s="9">
        <f>AG21*'PAG20 FE GE'!$C$2+AH21*'PAG20 FE GE'!$C$3+AI21*'PAG20 FE GE'!$C$4</f>
        <v>1632.02</v>
      </c>
      <c r="AG21" s="6">
        <v>1250.8599999999999</v>
      </c>
      <c r="AH21" s="6">
        <v>1.28</v>
      </c>
      <c r="AI21" s="6">
        <v>1</v>
      </c>
      <c r="AJ21" s="13">
        <f>AG21/X21*100</f>
        <v>45.503026599150218</v>
      </c>
      <c r="AK21" t="s">
        <v>424</v>
      </c>
      <c r="AL21" t="s">
        <v>790</v>
      </c>
    </row>
    <row r="22" spans="1:38" ht="15.75" thickBot="1" x14ac:dyDescent="0.3">
      <c r="A22" s="4" t="s">
        <v>2</v>
      </c>
      <c r="B22" s="7" t="s">
        <v>13</v>
      </c>
      <c r="C22" s="5" t="s">
        <v>95</v>
      </c>
      <c r="D22" s="6" t="s">
        <v>4</v>
      </c>
      <c r="E22" s="6" t="str">
        <f t="shared" si="1"/>
        <v>Pesado de Passageiros M3: I : GNL : E4</v>
      </c>
      <c r="F22" s="6" t="s">
        <v>57</v>
      </c>
      <c r="G22" s="6" t="s">
        <v>96</v>
      </c>
      <c r="H22" s="9">
        <f>IF(G22="MJ",INDEX(Tabela1[Energia (MJ/Qtd.)],MATCH(C22,Tabela1[Fuel],0)),IF(G22="GJ",INDEX(Tabela1[Energia (GJ/Qtd.)2],MATCH(C22,Tabela1[Fuel],0)),"XXX"))</f>
        <v>4.8000000000000001E-2</v>
      </c>
      <c r="I22" s="17">
        <v>-1</v>
      </c>
      <c r="J22" s="17">
        <v>-1</v>
      </c>
      <c r="K22" s="17">
        <v>-1</v>
      </c>
      <c r="L22" s="9">
        <f>O22*'PAG20 FE GE'!$D$2+P22*'PAG20 FE GE'!$D$3+Q22*'PAG20 FE GE'!$D$4</f>
        <v>-350</v>
      </c>
      <c r="M22" s="9">
        <f>O22*'PAG100 FE GE'!$C$2+P22*'PAG100 FE GE'!$C$3+Q22*'PAG100 FE GE'!$C$4</f>
        <v>-324</v>
      </c>
      <c r="N22" s="9">
        <f>O22*'PAG20 FE GE'!$C$2+P22*'PAG20 FE GE'!$C$3+Q22*'PAG20 FE GE'!$C$4</f>
        <v>-362</v>
      </c>
      <c r="O22" s="17">
        <v>-1</v>
      </c>
      <c r="P22" s="17">
        <v>-1</v>
      </c>
      <c r="Q22" s="17">
        <v>-1</v>
      </c>
      <c r="R22" s="17">
        <f>X22*'PAG100 FE GE'!$E$2+Y22*'PAG100 FE GE'!$E$3+Z22*'PAG100 FE GE'!$E$4</f>
        <v>-301.89999999999998</v>
      </c>
      <c r="S22" s="17">
        <f>X22*'PAG20 FE GE'!$E$2+Y22*'PAG20 FE GE'!$E$3+Z22*'PAG20 FE GE'!$E$4</f>
        <v>-355.2</v>
      </c>
      <c r="T22" s="17">
        <f>X22*'PAG100 FE GE'!$D$2+Y22*'PAG100 FE GE'!$D$3+Z22*'PAG100 FE GE'!$D$4</f>
        <v>-294</v>
      </c>
      <c r="U22" s="17">
        <f>X22*'PAG20 FE GE'!$D$2+Y22*'PAG20 FE GE'!$D$3+Z22*'PAG20 FE GE'!$D$4</f>
        <v>-350</v>
      </c>
      <c r="V22" s="17">
        <f>X22*'PAG100 FE GE'!$C$2+Y22*'PAG100 FE GE'!$C$3+Z22*'PAG100 FE GE'!$C$4</f>
        <v>-324</v>
      </c>
      <c r="W22" s="17">
        <f>X22*'PAG20 FE GE'!$C$2+Y22*'PAG20 FE GE'!$C$3+Z22*'PAG20 FE GE'!$C$4</f>
        <v>-362</v>
      </c>
      <c r="X22" s="17">
        <v>-1</v>
      </c>
      <c r="Y22" s="17">
        <v>-1</v>
      </c>
      <c r="Z22" s="17">
        <v>-1</v>
      </c>
      <c r="AA22" s="17">
        <f>AG22*'PAG100 FE GE'!$E$2+AH22*'PAG100 FE GE'!$E$3+AI22*'PAG100 FE GE'!$E$4</f>
        <v>-301.89999999999998</v>
      </c>
      <c r="AB22" s="17">
        <f>AG22*'PAG20 FE GE'!$E$2+AH22*'PAG20 FE GE'!$E$3+AI22*'PAG20 FE GE'!$E$4</f>
        <v>-355.2</v>
      </c>
      <c r="AC22" s="17">
        <f>AG22*'PAG100 FE GE'!$D$2+AH22*'PAG100 FE GE'!$D$3+AI22*'PAG100 FE GE'!$D$4</f>
        <v>-294</v>
      </c>
      <c r="AD22" s="17">
        <f>AG22*'PAG20 FE GE'!$D$2+AH22*'PAG20 FE GE'!$D$3+AI22*'PAG20 FE GE'!$D$4</f>
        <v>-350</v>
      </c>
      <c r="AE22" s="17">
        <f>AG22*'PAG100 FE GE'!$C$2+AH22*'PAG100 FE GE'!$C$3+AI22*'PAG100 FE GE'!$C$4</f>
        <v>-324</v>
      </c>
      <c r="AF22" s="17">
        <f>AG22*'PAG20 FE GE'!$C$2+AH22*'PAG20 FE GE'!$C$3+AI22*'PAG20 FE GE'!$C$4</f>
        <v>-362</v>
      </c>
      <c r="AG22" s="17">
        <v>-1</v>
      </c>
      <c r="AH22" s="17">
        <v>-1</v>
      </c>
      <c r="AI22" s="17">
        <v>-1</v>
      </c>
      <c r="AJ22" s="17">
        <v>-1</v>
      </c>
      <c r="AK22" t="s">
        <v>424</v>
      </c>
      <c r="AL22" t="s">
        <v>790</v>
      </c>
    </row>
    <row r="23" spans="1:38" ht="15.75" thickBot="1" x14ac:dyDescent="0.3">
      <c r="A23" s="4" t="s">
        <v>2</v>
      </c>
      <c r="B23" s="7" t="s">
        <v>13</v>
      </c>
      <c r="C23" s="5" t="s">
        <v>95</v>
      </c>
      <c r="D23" s="6" t="s">
        <v>5</v>
      </c>
      <c r="E23" s="6" t="str">
        <f t="shared" si="1"/>
        <v>Pesado de Passageiros M3: I : GNL : E5</v>
      </c>
      <c r="F23" s="6" t="s">
        <v>57</v>
      </c>
      <c r="G23" s="6" t="s">
        <v>96</v>
      </c>
      <c r="H23" s="9">
        <f>IF(G23="MJ",INDEX(Tabela1[Energia (MJ/Qtd.)],MATCH(C23,Tabela1[Fuel],0)),IF(G23="GJ",INDEX(Tabela1[Energia (GJ/Qtd.)2],MATCH(C23,Tabela1[Fuel],0)),"XXX"))</f>
        <v>4.8000000000000001E-2</v>
      </c>
      <c r="I23" s="9">
        <f>O23*'PAG100 FE GE'!$E$2+P23*'PAG100 FE GE'!$E$3+Q23*'PAG100 FE GE'!$E$4</f>
        <v>70061.616000000009</v>
      </c>
      <c r="J23" s="9">
        <f>O23*'PAG20 FE GE'!$E$2+P23*'PAG20 FE GE'!$E$3+Q23*'PAG20 FE GE'!$E$4</f>
        <v>72286.358000000007</v>
      </c>
      <c r="K23" s="9">
        <f>O23*'PAG100 FE GE'!$D$2+P23*'PAG100 FE GE'!$D$3+Q23*'PAG100 FE GE'!$D$4</f>
        <v>69725.070000000007</v>
      </c>
      <c r="L23" s="9">
        <f>O23*'PAG20 FE GE'!$D$2+P23*'PAG20 FE GE'!$D$3+Q23*'PAG20 FE GE'!$D$4</f>
        <v>72061.66</v>
      </c>
      <c r="M23" s="9">
        <f>O23*'PAG100 FE GE'!$C$2+P23*'PAG100 FE GE'!$C$3+Q23*'PAG100 FE GE'!$C$4</f>
        <v>71005.320000000007</v>
      </c>
      <c r="N23" s="9">
        <f>O23*'PAG20 FE GE'!$C$2+P23*'PAG20 FE GE'!$C$3+Q23*'PAG20 FE GE'!$C$4</f>
        <v>72583.789999999994</v>
      </c>
      <c r="O23" s="9">
        <f>57.27*1000</f>
        <v>57270</v>
      </c>
      <c r="P23" s="9">
        <f>0.04174*1000</f>
        <v>41.74</v>
      </c>
      <c r="Q23" s="9">
        <f>0.04259*1000</f>
        <v>42.59</v>
      </c>
      <c r="R23" s="9">
        <f>X23*'PAG100 FE GE'!$E$2+Y23*'PAG100 FE GE'!$E$3+Z23*'PAG100 FE GE'!$E$4</f>
        <v>3362.9575680000003</v>
      </c>
      <c r="S23" s="9">
        <f>X23*'PAG20 FE GE'!$E$2+Y23*'PAG20 FE GE'!$E$3+Z23*'PAG20 FE GE'!$E$4</f>
        <v>3469.7451840000003</v>
      </c>
      <c r="T23" s="9">
        <f>X23*'PAG100 FE GE'!$D$2+Y23*'PAG100 FE GE'!$D$3+Z23*'PAG100 FE GE'!$D$4</f>
        <v>3346.8033599999999</v>
      </c>
      <c r="U23" s="9">
        <f>X23*'PAG20 FE GE'!$D$2+Y23*'PAG20 FE GE'!$D$3+Z23*'PAG20 FE GE'!$D$4</f>
        <v>3458.9596799999999</v>
      </c>
      <c r="V23" s="9">
        <f>X23*'PAG100 FE GE'!$C$2+Y23*'PAG100 FE GE'!$C$3+Z23*'PAG100 FE GE'!$C$4</f>
        <v>3408.2553600000001</v>
      </c>
      <c r="W23" s="9">
        <f>X23*'PAG20 FE GE'!$C$2+Y23*'PAG20 FE GE'!$C$3+Z23*'PAG20 FE GE'!$C$4</f>
        <v>3484.0219200000001</v>
      </c>
      <c r="X23" s="9">
        <f t="shared" ref="X23" si="20">O23*$H23</f>
        <v>2748.96</v>
      </c>
      <c r="Y23" s="9">
        <f t="shared" ref="Y23" si="21">P23*$H23</f>
        <v>2.00352</v>
      </c>
      <c r="Z23" s="9">
        <f t="shared" ref="Z23" si="22">Q23*$H23</f>
        <v>2.0443200000000004</v>
      </c>
      <c r="AA23" s="9">
        <f>AG23*'PAG100 FE GE'!$E$2+AH23*'PAG100 FE GE'!$E$3+AI23*'PAG100 FE GE'!$E$4</f>
        <v>1644.942</v>
      </c>
      <c r="AB23" s="9">
        <f>AG23*'PAG20 FE GE'!$E$2+AH23*'PAG20 FE GE'!$E$3+AI23*'PAG20 FE GE'!$E$4</f>
        <v>1697.1759999999999</v>
      </c>
      <c r="AC23" s="9">
        <f>AG23*'PAG100 FE GE'!$D$2+AH23*'PAG100 FE GE'!$D$3+AI23*'PAG100 FE GE'!$D$4</f>
        <v>1637.04</v>
      </c>
      <c r="AD23" s="9">
        <f>AG23*'PAG20 FE GE'!$D$2+AH23*'PAG20 FE GE'!$D$3+AI23*'PAG20 FE GE'!$D$4</f>
        <v>1691.8999999999999</v>
      </c>
      <c r="AE23" s="9">
        <f>AG23*'PAG100 FE GE'!$C$2+AH23*'PAG100 FE GE'!$C$3+AI23*'PAG100 FE GE'!$C$4</f>
        <v>1667.1</v>
      </c>
      <c r="AF23" s="9">
        <f>AG23*'PAG20 FE GE'!$C$2+AH23*'PAG20 FE GE'!$C$3+AI23*'PAG20 FE GE'!$C$4</f>
        <v>1704.1599999999999</v>
      </c>
      <c r="AG23" s="6">
        <v>1344.6</v>
      </c>
      <c r="AH23" s="6">
        <v>0.98</v>
      </c>
      <c r="AI23" s="6">
        <v>1</v>
      </c>
      <c r="AJ23" s="13">
        <f>AG23/X23*100</f>
        <v>48.913043478260867</v>
      </c>
      <c r="AK23" t="s">
        <v>424</v>
      </c>
      <c r="AL23" t="s">
        <v>790</v>
      </c>
    </row>
    <row r="24" spans="1:38" ht="15.75" thickBot="1" x14ac:dyDescent="0.3">
      <c r="A24" s="4" t="s">
        <v>2</v>
      </c>
      <c r="B24" s="7" t="s">
        <v>13</v>
      </c>
      <c r="C24" s="5" t="s">
        <v>95</v>
      </c>
      <c r="D24" s="6" t="s">
        <v>6</v>
      </c>
      <c r="E24" s="6" t="str">
        <f t="shared" si="1"/>
        <v>Pesado de Passageiros M3: I : GNL : E6</v>
      </c>
      <c r="F24" s="6" t="s">
        <v>57</v>
      </c>
      <c r="G24" s="6" t="s">
        <v>96</v>
      </c>
      <c r="H24" s="9">
        <f>IF(G24="MJ",INDEX(Tabela1[Energia (MJ/Qtd.)],MATCH(C24,Tabela1[Fuel],0)),IF(G24="GJ",INDEX(Tabela1[Energia (GJ/Qtd.)2],MATCH(C24,Tabela1[Fuel],0)),"XXX"))</f>
        <v>4.8000000000000001E-2</v>
      </c>
      <c r="I24" s="17">
        <v>-1</v>
      </c>
      <c r="J24" s="17">
        <v>-1</v>
      </c>
      <c r="K24" s="17">
        <v>-1</v>
      </c>
      <c r="L24" s="17">
        <v>-1</v>
      </c>
      <c r="M24" s="17">
        <v>-1</v>
      </c>
      <c r="N24" s="17">
        <v>-1</v>
      </c>
      <c r="O24" s="17">
        <v>-1</v>
      </c>
      <c r="P24" s="17">
        <v>-1</v>
      </c>
      <c r="Q24" s="17">
        <v>-1</v>
      </c>
      <c r="R24" s="17">
        <f>X24*'PAG100 FE GE'!$E$2+Y24*'PAG100 FE GE'!$E$3+Z24*'PAG100 FE GE'!$E$4</f>
        <v>-301.89999999999998</v>
      </c>
      <c r="S24" s="17">
        <f>X24*'PAG20 FE GE'!$E$2+Y24*'PAG20 FE GE'!$E$3+Z24*'PAG20 FE GE'!$E$4</f>
        <v>-355.2</v>
      </c>
      <c r="T24" s="17">
        <f>X24*'PAG100 FE GE'!$D$2+Y24*'PAG100 FE GE'!$D$3+Z24*'PAG100 FE GE'!$D$4</f>
        <v>-294</v>
      </c>
      <c r="U24" s="17">
        <f>X24*'PAG20 FE GE'!$D$2+Y24*'PAG20 FE GE'!$D$3+Z24*'PAG20 FE GE'!$D$4</f>
        <v>-350</v>
      </c>
      <c r="V24" s="17">
        <f>X24*'PAG100 FE GE'!$C$2+Y24*'PAG100 FE GE'!$C$3+Z24*'PAG100 FE GE'!$C$4</f>
        <v>-324</v>
      </c>
      <c r="W24" s="17">
        <f>X24*'PAG20 FE GE'!$C$2+Y24*'PAG20 FE GE'!$C$3+Z24*'PAG20 FE GE'!$C$4</f>
        <v>-362</v>
      </c>
      <c r="X24" s="17">
        <v>-1</v>
      </c>
      <c r="Y24" s="17">
        <v>-1</v>
      </c>
      <c r="Z24" s="17">
        <v>-1</v>
      </c>
      <c r="AA24" s="17">
        <f>AG24*'PAG100 FE GE'!$E$2+AH24*'PAG100 FE GE'!$E$3+AI24*'PAG100 FE GE'!$E$4</f>
        <v>-301.89999999999998</v>
      </c>
      <c r="AB24" s="17">
        <f>AG24*'PAG20 FE GE'!$E$2+AH24*'PAG20 FE GE'!$E$3+AI24*'PAG20 FE GE'!$E$4</f>
        <v>-355.2</v>
      </c>
      <c r="AC24" s="17">
        <f>AG24*'PAG100 FE GE'!$D$2+AH24*'PAG100 FE GE'!$D$3+AI24*'PAG100 FE GE'!$D$4</f>
        <v>-294</v>
      </c>
      <c r="AD24" s="17">
        <f>AG24*'PAG20 FE GE'!$D$2+AH24*'PAG20 FE GE'!$D$3+AI24*'PAG20 FE GE'!$D$4</f>
        <v>-350</v>
      </c>
      <c r="AE24" s="17">
        <f>AG24*'PAG100 FE GE'!$C$2+AH24*'PAG100 FE GE'!$C$3+AI24*'PAG100 FE GE'!$C$4</f>
        <v>-324</v>
      </c>
      <c r="AF24" s="17">
        <f>AG24*'PAG20 FE GE'!$C$2+AH24*'PAG20 FE GE'!$C$3+AI24*'PAG20 FE GE'!$C$4</f>
        <v>-362</v>
      </c>
      <c r="AG24" s="17">
        <v>-1</v>
      </c>
      <c r="AH24" s="17">
        <v>-1</v>
      </c>
      <c r="AI24" s="17">
        <v>-1</v>
      </c>
      <c r="AJ24" s="17">
        <v>-1</v>
      </c>
      <c r="AK24" t="s">
        <v>424</v>
      </c>
      <c r="AL24" t="s">
        <v>790</v>
      </c>
    </row>
    <row r="25" spans="1:38" ht="15.75" thickBot="1" x14ac:dyDescent="0.3">
      <c r="A25" s="4" t="s">
        <v>2</v>
      </c>
      <c r="B25" s="7" t="s">
        <v>13</v>
      </c>
      <c r="C25" s="5" t="s">
        <v>95</v>
      </c>
      <c r="D25" s="6" t="s">
        <v>81</v>
      </c>
      <c r="E25" s="6" t="str">
        <f t="shared" si="1"/>
        <v>Pesado de Passageiros M3: I : GNL : E6 D/E E7</v>
      </c>
      <c r="F25" s="6" t="s">
        <v>57</v>
      </c>
      <c r="G25" s="6" t="s">
        <v>96</v>
      </c>
      <c r="H25" s="9">
        <f>IF(G25="MJ",INDEX(Tabela1[Energia (MJ/Qtd.)],MATCH(C25,Tabela1[Fuel],0)),IF(G25="GJ",INDEX(Tabela1[Energia (GJ/Qtd.)2],MATCH(C25,Tabela1[Fuel],0)),"XXX"))</f>
        <v>4.8000000000000001E-2</v>
      </c>
      <c r="I25" s="17">
        <v>-1</v>
      </c>
      <c r="J25" s="17">
        <v>-1</v>
      </c>
      <c r="K25" s="17">
        <v>-1</v>
      </c>
      <c r="L25" s="17">
        <v>-1</v>
      </c>
      <c r="M25" s="17">
        <v>-1</v>
      </c>
      <c r="N25" s="17">
        <v>-1</v>
      </c>
      <c r="O25" s="17">
        <v>-1</v>
      </c>
      <c r="P25" s="17">
        <v>-1</v>
      </c>
      <c r="Q25" s="17">
        <v>-1</v>
      </c>
      <c r="R25" s="17">
        <f>X25*'PAG100 FE GE'!$E$2+Y25*'PAG100 FE GE'!$E$3+Z25*'PAG100 FE GE'!$E$4</f>
        <v>-301.89999999999998</v>
      </c>
      <c r="S25" s="17">
        <f>X25*'PAG20 FE GE'!$E$2+Y25*'PAG20 FE GE'!$E$3+Z25*'PAG20 FE GE'!$E$4</f>
        <v>-355.2</v>
      </c>
      <c r="T25" s="17">
        <f>X25*'PAG100 FE GE'!$D$2+Y25*'PAG100 FE GE'!$D$3+Z25*'PAG100 FE GE'!$D$4</f>
        <v>-294</v>
      </c>
      <c r="U25" s="17">
        <f>X25*'PAG20 FE GE'!$D$2+Y25*'PAG20 FE GE'!$D$3+Z25*'PAG20 FE GE'!$D$4</f>
        <v>-350</v>
      </c>
      <c r="V25" s="17">
        <f>X25*'PAG100 FE GE'!$C$2+Y25*'PAG100 FE GE'!$C$3+Z25*'PAG100 FE GE'!$C$4</f>
        <v>-324</v>
      </c>
      <c r="W25" s="17">
        <f>X25*'PAG20 FE GE'!$C$2+Y25*'PAG20 FE GE'!$C$3+Z25*'PAG20 FE GE'!$C$4</f>
        <v>-362</v>
      </c>
      <c r="X25" s="17">
        <v>-1</v>
      </c>
      <c r="Y25" s="17">
        <v>-1</v>
      </c>
      <c r="Z25" s="17">
        <v>-1</v>
      </c>
      <c r="AA25" s="17">
        <f>AG25*'PAG100 FE GE'!$E$2+AH25*'PAG100 FE GE'!$E$3+AI25*'PAG100 FE GE'!$E$4</f>
        <v>-301.89999999999998</v>
      </c>
      <c r="AB25" s="17">
        <f>AG25*'PAG20 FE GE'!$E$2+AH25*'PAG20 FE GE'!$E$3+AI25*'PAG20 FE GE'!$E$4</f>
        <v>-355.2</v>
      </c>
      <c r="AC25" s="17">
        <f>AG25*'PAG100 FE GE'!$D$2+AH25*'PAG100 FE GE'!$D$3+AI25*'PAG100 FE GE'!$D$4</f>
        <v>-294</v>
      </c>
      <c r="AD25" s="17">
        <f>AG25*'PAG20 FE GE'!$D$2+AH25*'PAG20 FE GE'!$D$3+AI25*'PAG20 FE GE'!$D$4</f>
        <v>-350</v>
      </c>
      <c r="AE25" s="17">
        <f>AG25*'PAG100 FE GE'!$C$2+AH25*'PAG100 FE GE'!$C$3+AI25*'PAG100 FE GE'!$C$4</f>
        <v>-324</v>
      </c>
      <c r="AF25" s="17">
        <f>AG25*'PAG20 FE GE'!$C$2+AH25*'PAG20 FE GE'!$C$3+AI25*'PAG20 FE GE'!$C$4</f>
        <v>-362</v>
      </c>
      <c r="AG25" s="17">
        <v>-1</v>
      </c>
      <c r="AH25" s="17">
        <v>-1</v>
      </c>
      <c r="AI25" s="17">
        <v>-1</v>
      </c>
      <c r="AJ25" s="17">
        <v>-1</v>
      </c>
      <c r="AK25" t="s">
        <v>424</v>
      </c>
      <c r="AL25" t="s">
        <v>790</v>
      </c>
    </row>
    <row r="26" spans="1:38" ht="15.75" thickBot="1" x14ac:dyDescent="0.3">
      <c r="A26" s="4" t="s">
        <v>2</v>
      </c>
      <c r="B26" s="7" t="s">
        <v>15</v>
      </c>
      <c r="C26" s="5" t="s">
        <v>3</v>
      </c>
      <c r="D26" s="6" t="s">
        <v>8</v>
      </c>
      <c r="E26" s="6" t="str">
        <f t="shared" si="1"/>
        <v>Pesado de Passageiros M3: II : Gasóleo : E0</v>
      </c>
      <c r="F26" s="6" t="s">
        <v>55</v>
      </c>
      <c r="G26" s="6" t="s">
        <v>96</v>
      </c>
      <c r="H26" s="9">
        <f>IF(G26="MJ",INDEX(Tabela1[Energia (MJ/Qtd.)],MATCH(C26,Tabela1[Fuel],0)),IF(G26="GJ",INDEX(Tabela1[Energia (GJ/Qtd.)2],MATCH(C26,Tabela1[Fuel],0)),"XXX"))</f>
        <v>3.5868000000000004E-2</v>
      </c>
      <c r="I26" s="213">
        <f>65%*I50+35%*I2</f>
        <v>69966.274600000004</v>
      </c>
      <c r="J26" s="213">
        <f t="shared" ref="J26:AJ26" si="23">65%*J50+35%*J2</f>
        <v>70372.1008</v>
      </c>
      <c r="K26" s="213">
        <f t="shared" si="23"/>
        <v>69947.611999999994</v>
      </c>
      <c r="L26" s="213">
        <f t="shared" si="23"/>
        <v>70379.182000000001</v>
      </c>
      <c r="M26" s="213">
        <f t="shared" si="23"/>
        <v>70004.894</v>
      </c>
      <c r="N26" s="213">
        <f t="shared" si="23"/>
        <v>70340.899999999994</v>
      </c>
      <c r="O26" s="213">
        <f t="shared" si="23"/>
        <v>69091</v>
      </c>
      <c r="P26" s="213">
        <f t="shared" si="23"/>
        <v>7.613999999999999</v>
      </c>
      <c r="Q26" s="213">
        <f t="shared" si="23"/>
        <v>2.4280000000000004</v>
      </c>
      <c r="R26" s="213">
        <f t="shared" si="23"/>
        <v>2509.5503373528004</v>
      </c>
      <c r="S26" s="213">
        <f t="shared" si="23"/>
        <v>2524.1065114944004</v>
      </c>
      <c r="T26" s="213">
        <f t="shared" si="23"/>
        <v>2508.8809472160001</v>
      </c>
      <c r="U26" s="213">
        <f t="shared" si="23"/>
        <v>2524.3604999760005</v>
      </c>
      <c r="V26" s="213">
        <f t="shared" si="23"/>
        <v>2510.9355379920007</v>
      </c>
      <c r="W26" s="213">
        <f t="shared" si="23"/>
        <v>2522.9874012000005</v>
      </c>
      <c r="X26" s="213">
        <f t="shared" si="23"/>
        <v>2478.1559880000004</v>
      </c>
      <c r="Y26" s="213">
        <f t="shared" si="23"/>
        <v>0.27309895200000001</v>
      </c>
      <c r="Z26" s="213">
        <f t="shared" si="23"/>
        <v>8.708750400000001E-2</v>
      </c>
      <c r="AA26" s="213">
        <f t="shared" si="23"/>
        <v>1010.1592047449999</v>
      </c>
      <c r="AB26" s="213">
        <f t="shared" si="23"/>
        <v>1016.0321478599999</v>
      </c>
      <c r="AC26" s="213">
        <f t="shared" si="23"/>
        <v>1009.9302233999999</v>
      </c>
      <c r="AD26" s="213">
        <f t="shared" si="23"/>
        <v>1016.18085675</v>
      </c>
      <c r="AE26" s="213">
        <f t="shared" si="23"/>
        <v>1010.58966375</v>
      </c>
      <c r="AF26" s="213">
        <f t="shared" si="23"/>
        <v>1015.4984316</v>
      </c>
      <c r="AG26" s="213">
        <f t="shared" si="23"/>
        <v>998.89499999999998</v>
      </c>
      <c r="AH26" s="213">
        <f t="shared" si="23"/>
        <v>0.11018654999999999</v>
      </c>
      <c r="AI26" s="213">
        <f t="shared" si="23"/>
        <v>0.03</v>
      </c>
      <c r="AJ26" s="213">
        <f t="shared" si="23"/>
        <v>40.300841018387842</v>
      </c>
      <c r="AK26" t="s">
        <v>424</v>
      </c>
      <c r="AL26" t="s">
        <v>790</v>
      </c>
    </row>
    <row r="27" spans="1:38" ht="15.75" thickBot="1" x14ac:dyDescent="0.3">
      <c r="A27" s="4" t="s">
        <v>2</v>
      </c>
      <c r="B27" s="7" t="s">
        <v>15</v>
      </c>
      <c r="C27" s="5" t="s">
        <v>3</v>
      </c>
      <c r="D27" s="6" t="s">
        <v>7</v>
      </c>
      <c r="E27" s="6" t="str">
        <f t="shared" si="1"/>
        <v>Pesado de Passageiros M3: II : Gasóleo : E1</v>
      </c>
      <c r="F27" s="6" t="s">
        <v>55</v>
      </c>
      <c r="G27" s="6" t="s">
        <v>96</v>
      </c>
      <c r="H27" s="9">
        <f>IF(G27="MJ",INDEX(Tabela1[Energia (MJ/Qtd.)],MATCH(C27,Tabela1[Fuel],0)),IF(G27="GJ",INDEX(Tabela1[Energia (GJ/Qtd.)2],MATCH(C27,Tabela1[Fuel],0)),"XXX"))</f>
        <v>3.5868000000000004E-2</v>
      </c>
      <c r="I27" s="213">
        <f t="shared" ref="I27:AJ27" si="24">65%*I51+35%*I3</f>
        <v>69541.237550000005</v>
      </c>
      <c r="J27" s="213">
        <f t="shared" si="24"/>
        <v>69981.202399999995</v>
      </c>
      <c r="K27" s="213">
        <f t="shared" si="24"/>
        <v>69535.910999999993</v>
      </c>
      <c r="L27" s="213">
        <f t="shared" si="24"/>
        <v>70005.648499999996</v>
      </c>
      <c r="M27" s="213">
        <f t="shared" si="24"/>
        <v>69536.5245</v>
      </c>
      <c r="N27" s="213">
        <f t="shared" si="24"/>
        <v>69917.565000000002</v>
      </c>
      <c r="O27" s="213">
        <f t="shared" si="24"/>
        <v>69101</v>
      </c>
      <c r="P27" s="213">
        <f t="shared" si="24"/>
        <v>8.2545000000000002</v>
      </c>
      <c r="Q27" s="213">
        <f t="shared" si="24"/>
        <v>0.76900000000000002</v>
      </c>
      <c r="R27" s="213">
        <f t="shared" si="24"/>
        <v>2494.3051084434001</v>
      </c>
      <c r="S27" s="213">
        <f t="shared" si="24"/>
        <v>2510.0857676832002</v>
      </c>
      <c r="T27" s="213">
        <f t="shared" si="24"/>
        <v>2494.1140557480003</v>
      </c>
      <c r="U27" s="213">
        <f t="shared" si="24"/>
        <v>2510.9626003980002</v>
      </c>
      <c r="V27" s="213">
        <f t="shared" si="24"/>
        <v>2494.1360607659999</v>
      </c>
      <c r="W27" s="213">
        <f t="shared" si="24"/>
        <v>2507.8032214200002</v>
      </c>
      <c r="X27" s="213">
        <f t="shared" si="24"/>
        <v>2478.5146680000003</v>
      </c>
      <c r="Y27" s="213">
        <f t="shared" si="24"/>
        <v>0.29607240600000007</v>
      </c>
      <c r="Z27" s="213">
        <f t="shared" si="24"/>
        <v>2.7582492E-2</v>
      </c>
      <c r="AA27" s="213">
        <f t="shared" si="24"/>
        <v>914.33255174499993</v>
      </c>
      <c r="AB27" s="213">
        <f t="shared" si="24"/>
        <v>920.20549485999993</v>
      </c>
      <c r="AC27" s="213">
        <f t="shared" si="24"/>
        <v>914.26805839999997</v>
      </c>
      <c r="AD27" s="213">
        <f t="shared" si="24"/>
        <v>920.53925274999995</v>
      </c>
      <c r="AE27" s="213">
        <f t="shared" si="24"/>
        <v>914.24898574999997</v>
      </c>
      <c r="AF27" s="213">
        <f t="shared" si="24"/>
        <v>919.34280259999991</v>
      </c>
      <c r="AG27" s="213">
        <f t="shared" si="24"/>
        <v>908.68149999999991</v>
      </c>
      <c r="AH27" s="213">
        <f t="shared" si="24"/>
        <v>0.11018654999999999</v>
      </c>
      <c r="AI27" s="213">
        <f t="shared" si="24"/>
        <v>9.4389999999999995E-3</v>
      </c>
      <c r="AJ27" s="213">
        <f t="shared" si="24"/>
        <v>36.656416887165008</v>
      </c>
      <c r="AK27" t="s">
        <v>424</v>
      </c>
      <c r="AL27" t="s">
        <v>790</v>
      </c>
    </row>
    <row r="28" spans="1:38" ht="15.75" thickBot="1" x14ac:dyDescent="0.3">
      <c r="A28" s="4" t="s">
        <v>2</v>
      </c>
      <c r="B28" s="7" t="s">
        <v>15</v>
      </c>
      <c r="C28" s="5" t="s">
        <v>3</v>
      </c>
      <c r="D28" s="6" t="s">
        <v>9</v>
      </c>
      <c r="E28" s="6" t="str">
        <f t="shared" si="1"/>
        <v>Pesado de Passageiros M3: II : Gasóleo : E2</v>
      </c>
      <c r="F28" s="6" t="s">
        <v>55</v>
      </c>
      <c r="G28" s="6" t="s">
        <v>96</v>
      </c>
      <c r="H28" s="9">
        <f>IF(G28="MJ",INDEX(Tabela1[Energia (MJ/Qtd.)],MATCH(C28,Tabela1[Fuel],0)),IF(G28="GJ",INDEX(Tabela1[Energia (GJ/Qtd.)2],MATCH(C28,Tabela1[Fuel],0)),"XXX"))</f>
        <v>3.5868000000000004E-2</v>
      </c>
      <c r="I28" s="213">
        <f t="shared" ref="I28:AJ28" si="25">65%*I52+35%*I4</f>
        <v>69458.697549999997</v>
      </c>
      <c r="J28" s="213">
        <f t="shared" si="25"/>
        <v>69749.155899999998</v>
      </c>
      <c r="K28" s="213">
        <f t="shared" si="25"/>
        <v>69453.318499999994</v>
      </c>
      <c r="L28" s="213">
        <f t="shared" si="25"/>
        <v>69763.199500000002</v>
      </c>
      <c r="M28" s="213">
        <f t="shared" si="25"/>
        <v>69461.406499999997</v>
      </c>
      <c r="N28" s="213">
        <f t="shared" si="25"/>
        <v>69710.868500000011</v>
      </c>
      <c r="O28" s="213">
        <f t="shared" si="25"/>
        <v>69104.5</v>
      </c>
      <c r="P28" s="213">
        <f t="shared" si="25"/>
        <v>5.4495000000000005</v>
      </c>
      <c r="Q28" s="213">
        <f t="shared" si="25"/>
        <v>0.74049999999999994</v>
      </c>
      <c r="R28" s="213">
        <f t="shared" si="25"/>
        <v>2491.3445637233999</v>
      </c>
      <c r="S28" s="213">
        <f t="shared" si="25"/>
        <v>2501.7627238212003</v>
      </c>
      <c r="T28" s="213">
        <f t="shared" si="25"/>
        <v>2491.1516279580001</v>
      </c>
      <c r="U28" s="213">
        <f t="shared" si="25"/>
        <v>2502.2664396660002</v>
      </c>
      <c r="V28" s="213">
        <f t="shared" si="25"/>
        <v>2491.4417283419998</v>
      </c>
      <c r="W28" s="213">
        <f t="shared" si="25"/>
        <v>2500.3894313580004</v>
      </c>
      <c r="X28" s="213">
        <f t="shared" si="25"/>
        <v>2478.640206</v>
      </c>
      <c r="Y28" s="213">
        <f t="shared" si="25"/>
        <v>0.19546266600000001</v>
      </c>
      <c r="Z28" s="213">
        <f t="shared" si="25"/>
        <v>2.6560254000000005E-2</v>
      </c>
      <c r="AA28" s="213">
        <f t="shared" si="25"/>
        <v>891.18866861000004</v>
      </c>
      <c r="AB28" s="213">
        <f t="shared" si="25"/>
        <v>895.00606257999993</v>
      </c>
      <c r="AC28" s="213">
        <f t="shared" si="25"/>
        <v>891.12276270000007</v>
      </c>
      <c r="AD28" s="213">
        <f t="shared" si="25"/>
        <v>895.19602050000003</v>
      </c>
      <c r="AE28" s="213">
        <f t="shared" si="25"/>
        <v>891.20930550000003</v>
      </c>
      <c r="AF28" s="213">
        <f t="shared" si="25"/>
        <v>894.49328629999991</v>
      </c>
      <c r="AG28" s="213">
        <f t="shared" si="25"/>
        <v>886.697</v>
      </c>
      <c r="AH28" s="213">
        <f t="shared" si="25"/>
        <v>7.1620900000000001E-2</v>
      </c>
      <c r="AI28" s="213">
        <f t="shared" si="25"/>
        <v>9.1334999999999993E-3</v>
      </c>
      <c r="AJ28" s="213">
        <f t="shared" si="25"/>
        <v>35.767314317008115</v>
      </c>
      <c r="AK28" t="s">
        <v>424</v>
      </c>
      <c r="AL28" t="s">
        <v>790</v>
      </c>
    </row>
    <row r="29" spans="1:38" ht="15.75" thickBot="1" x14ac:dyDescent="0.3">
      <c r="A29" s="4" t="s">
        <v>2</v>
      </c>
      <c r="B29" s="7" t="s">
        <v>15</v>
      </c>
      <c r="C29" s="5" t="s">
        <v>3</v>
      </c>
      <c r="D29" s="6" t="s">
        <v>10</v>
      </c>
      <c r="E29" s="6" t="str">
        <f t="shared" si="1"/>
        <v>Pesado de Passageiros M3: II : Gasóleo : E3</v>
      </c>
      <c r="F29" s="6" t="s">
        <v>55</v>
      </c>
      <c r="G29" s="6" t="s">
        <v>96</v>
      </c>
      <c r="H29" s="9">
        <f>IF(G29="MJ",INDEX(Tabela1[Energia (MJ/Qtd.)],MATCH(C29,Tabela1[Fuel],0)),IF(G29="GJ",INDEX(Tabela1[Energia (GJ/Qtd.)2],MATCH(C29,Tabela1[Fuel],0)),"XXX"))</f>
        <v>3.5868000000000004E-2</v>
      </c>
      <c r="I29" s="213">
        <f t="shared" ref="I29:AJ29" si="26">65%*I53+35%*I5</f>
        <v>69355.169499999989</v>
      </c>
      <c r="J29" s="213">
        <f t="shared" si="26"/>
        <v>69614.7405</v>
      </c>
      <c r="K29" s="213">
        <f t="shared" si="26"/>
        <v>69352.292499999996</v>
      </c>
      <c r="L29" s="213">
        <f t="shared" si="26"/>
        <v>69629.462</v>
      </c>
      <c r="M29" s="213">
        <f t="shared" si="26"/>
        <v>69351.559000000008</v>
      </c>
      <c r="N29" s="213">
        <f t="shared" si="26"/>
        <v>69576.664500000014</v>
      </c>
      <c r="O29" s="213">
        <f t="shared" si="26"/>
        <v>69104.5</v>
      </c>
      <c r="P29" s="213">
        <f t="shared" si="26"/>
        <v>4.87</v>
      </c>
      <c r="Q29" s="213">
        <f t="shared" si="26"/>
        <v>0.42050000000000004</v>
      </c>
      <c r="R29" s="213">
        <f t="shared" si="26"/>
        <v>2487.6312196260001</v>
      </c>
      <c r="S29" s="213">
        <f t="shared" si="26"/>
        <v>2496.9415122540004</v>
      </c>
      <c r="T29" s="213">
        <f t="shared" si="26"/>
        <v>2487.5280273900007</v>
      </c>
      <c r="U29" s="213">
        <f t="shared" si="26"/>
        <v>2497.4695430160004</v>
      </c>
      <c r="V29" s="213">
        <f t="shared" si="26"/>
        <v>2487.501718212</v>
      </c>
      <c r="W29" s="213">
        <f t="shared" si="26"/>
        <v>2495.575802286</v>
      </c>
      <c r="X29" s="213">
        <f t="shared" si="26"/>
        <v>2478.640206</v>
      </c>
      <c r="Y29" s="213">
        <f t="shared" si="26"/>
        <v>0.17467716000000003</v>
      </c>
      <c r="Z29" s="213">
        <f t="shared" si="26"/>
        <v>1.5082494000000002E-2</v>
      </c>
      <c r="AA29" s="213">
        <f t="shared" si="26"/>
        <v>906.30292331499982</v>
      </c>
      <c r="AB29" s="213">
        <f t="shared" si="26"/>
        <v>909.76794831999996</v>
      </c>
      <c r="AC29" s="213">
        <f t="shared" si="26"/>
        <v>906.26906830000007</v>
      </c>
      <c r="AD29" s="213">
        <f t="shared" si="26"/>
        <v>909.96958524999991</v>
      </c>
      <c r="AE29" s="213">
        <f t="shared" si="26"/>
        <v>906.24050724999984</v>
      </c>
      <c r="AF29" s="213">
        <f t="shared" si="26"/>
        <v>909.25056969999991</v>
      </c>
      <c r="AG29" s="213">
        <f t="shared" si="26"/>
        <v>903.11199999999997</v>
      </c>
      <c r="AH29" s="213">
        <f t="shared" si="26"/>
        <v>6.5009849999999994E-2</v>
      </c>
      <c r="AI29" s="213">
        <f t="shared" si="26"/>
        <v>5.0445000000000004E-3</v>
      </c>
      <c r="AJ29" s="213">
        <f t="shared" si="26"/>
        <v>36.429294845070658</v>
      </c>
      <c r="AK29" t="s">
        <v>424</v>
      </c>
      <c r="AL29" t="s">
        <v>790</v>
      </c>
    </row>
    <row r="30" spans="1:38" ht="15.75" thickBot="1" x14ac:dyDescent="0.3">
      <c r="A30" s="4" t="s">
        <v>2</v>
      </c>
      <c r="B30" s="7" t="s">
        <v>15</v>
      </c>
      <c r="C30" s="5" t="s">
        <v>3</v>
      </c>
      <c r="D30" s="6" t="s">
        <v>4</v>
      </c>
      <c r="E30" s="6" t="str">
        <f t="shared" si="1"/>
        <v>Pesado de Passageiros M3: II : Gasóleo : E4</v>
      </c>
      <c r="F30" s="6" t="s">
        <v>55</v>
      </c>
      <c r="G30" s="6" t="s">
        <v>96</v>
      </c>
      <c r="H30" s="9">
        <f>IF(G30="MJ",INDEX(Tabela1[Energia (MJ/Qtd.)],MATCH(C30,Tabela1[Fuel],0)),IF(G30="GJ",INDEX(Tabela1[Energia (GJ/Qtd.)2],MATCH(C30,Tabela1[Fuel],0)),"XXX"))</f>
        <v>3.5868000000000004E-2</v>
      </c>
      <c r="I30" s="213">
        <f t="shared" ref="I30:AJ30" si="27">65%*I54+35%*I6</f>
        <v>69758.325050000014</v>
      </c>
      <c r="J30" s="213">
        <f t="shared" si="27"/>
        <v>69772.422900000005</v>
      </c>
      <c r="K30" s="213">
        <f t="shared" si="27"/>
        <v>69749.283500000005</v>
      </c>
      <c r="L30" s="213">
        <f t="shared" si="27"/>
        <v>69763.22649999999</v>
      </c>
      <c r="M30" s="213">
        <f t="shared" si="27"/>
        <v>69785.895500000013</v>
      </c>
      <c r="N30" s="213">
        <f t="shared" si="27"/>
        <v>69788.125499999995</v>
      </c>
      <c r="O30" s="213">
        <f t="shared" si="27"/>
        <v>69441.5</v>
      </c>
      <c r="P30" s="213">
        <f t="shared" si="27"/>
        <v>0.26450000000000001</v>
      </c>
      <c r="Q30" s="213">
        <f t="shared" si="27"/>
        <v>1.1335000000000002</v>
      </c>
      <c r="R30" s="213">
        <f t="shared" si="27"/>
        <v>2502.0916028934002</v>
      </c>
      <c r="S30" s="213">
        <f t="shared" si="27"/>
        <v>2502.5972645772003</v>
      </c>
      <c r="T30" s="213">
        <f t="shared" si="27"/>
        <v>2501.7673005780007</v>
      </c>
      <c r="U30" s="213">
        <f t="shared" si="27"/>
        <v>2502.2674081020004</v>
      </c>
      <c r="V30" s="213">
        <f t="shared" si="27"/>
        <v>2503.0804997940004</v>
      </c>
      <c r="W30" s="213">
        <f t="shared" si="27"/>
        <v>2503.1604854340007</v>
      </c>
      <c r="X30" s="213">
        <f t="shared" si="27"/>
        <v>2490.7277220000005</v>
      </c>
      <c r="Y30" s="213">
        <f t="shared" si="27"/>
        <v>9.4870860000000005E-3</v>
      </c>
      <c r="Z30" s="213">
        <f t="shared" si="27"/>
        <v>4.0656378000000007E-2</v>
      </c>
      <c r="AA30" s="213">
        <f t="shared" si="27"/>
        <v>848.85206471499987</v>
      </c>
      <c r="AB30" s="213">
        <f t="shared" si="27"/>
        <v>849.02826651999999</v>
      </c>
      <c r="AC30" s="213">
        <f t="shared" si="27"/>
        <v>848.75067130000002</v>
      </c>
      <c r="AD30" s="213">
        <f t="shared" si="27"/>
        <v>848.92638924999994</v>
      </c>
      <c r="AE30" s="213">
        <f t="shared" si="27"/>
        <v>849.16036524999993</v>
      </c>
      <c r="AF30" s="213">
        <f t="shared" si="27"/>
        <v>849.20130069999982</v>
      </c>
      <c r="AG30" s="213">
        <f t="shared" si="27"/>
        <v>845.2885</v>
      </c>
      <c r="AH30" s="213">
        <f t="shared" si="27"/>
        <v>3.3058499999999999E-3</v>
      </c>
      <c r="AI30" s="213">
        <f t="shared" si="27"/>
        <v>1.2715500000000001E-2</v>
      </c>
      <c r="AJ30" s="213">
        <f t="shared" si="27"/>
        <v>33.931079797888984</v>
      </c>
      <c r="AK30" t="s">
        <v>424</v>
      </c>
      <c r="AL30" t="s">
        <v>790</v>
      </c>
    </row>
    <row r="31" spans="1:38" ht="15.75" thickBot="1" x14ac:dyDescent="0.3">
      <c r="A31" s="4" t="s">
        <v>2</v>
      </c>
      <c r="B31" s="7" t="s">
        <v>15</v>
      </c>
      <c r="C31" s="5" t="s">
        <v>3</v>
      </c>
      <c r="D31" s="6" t="s">
        <v>5</v>
      </c>
      <c r="E31" s="6" t="str">
        <f t="shared" si="1"/>
        <v>Pesado de Passageiros M3: II : Gasóleo : E5</v>
      </c>
      <c r="F31" s="6" t="s">
        <v>55</v>
      </c>
      <c r="G31" s="6" t="s">
        <v>96</v>
      </c>
      <c r="H31" s="9">
        <f>IF(G31="MJ",INDEX(Tabela1[Energia (MJ/Qtd.)],MATCH(C31,Tabela1[Fuel],0)),IF(G31="GJ",INDEX(Tabela1[Energia (GJ/Qtd.)2],MATCH(C31,Tabela1[Fuel],0)),"XXX"))</f>
        <v>3.5868000000000004E-2</v>
      </c>
      <c r="I31" s="213">
        <f t="shared" ref="I31:AJ31" si="28">65%*I55+35%*I7</f>
        <v>70288.485050000003</v>
      </c>
      <c r="J31" s="213">
        <f t="shared" si="28"/>
        <v>70302.049900000013</v>
      </c>
      <c r="K31" s="213">
        <f t="shared" si="28"/>
        <v>70263.898499999996</v>
      </c>
      <c r="L31" s="213">
        <f t="shared" si="28"/>
        <v>70275.328500000003</v>
      </c>
      <c r="M31" s="213">
        <f t="shared" si="28"/>
        <v>70364.659500000009</v>
      </c>
      <c r="N31" s="213">
        <f t="shared" si="28"/>
        <v>70348.932499999995</v>
      </c>
      <c r="O31" s="213">
        <f t="shared" si="28"/>
        <v>69441.5</v>
      </c>
      <c r="P31" s="213">
        <f t="shared" si="28"/>
        <v>0.2545</v>
      </c>
      <c r="Q31" s="213">
        <f t="shared" si="28"/>
        <v>3.0765000000000002</v>
      </c>
      <c r="R31" s="213">
        <f t="shared" si="28"/>
        <v>2521.1073817734004</v>
      </c>
      <c r="S31" s="213">
        <f t="shared" si="28"/>
        <v>2521.5939258132003</v>
      </c>
      <c r="T31" s="213">
        <f t="shared" si="28"/>
        <v>2520.225511398</v>
      </c>
      <c r="U31" s="213">
        <f t="shared" si="28"/>
        <v>2520.6354826380007</v>
      </c>
      <c r="V31" s="213">
        <f t="shared" si="28"/>
        <v>2523.8396069460005</v>
      </c>
      <c r="W31" s="213">
        <f t="shared" si="28"/>
        <v>2523.2755109100003</v>
      </c>
      <c r="X31" s="213">
        <f t="shared" si="28"/>
        <v>2490.7277220000005</v>
      </c>
      <c r="Y31" s="213">
        <f t="shared" si="28"/>
        <v>9.1284060000000021E-3</v>
      </c>
      <c r="Z31" s="213">
        <f t="shared" si="28"/>
        <v>0.11034790200000003</v>
      </c>
      <c r="AA31" s="213">
        <f t="shared" si="28"/>
        <v>884.75561371499998</v>
      </c>
      <c r="AB31" s="213">
        <f t="shared" si="28"/>
        <v>884.93181551999999</v>
      </c>
      <c r="AC31" s="213">
        <f t="shared" si="28"/>
        <v>884.47011629999997</v>
      </c>
      <c r="AD31" s="213">
        <f t="shared" si="28"/>
        <v>884.62282125000002</v>
      </c>
      <c r="AE31" s="213">
        <f t="shared" si="28"/>
        <v>885.63923924999995</v>
      </c>
      <c r="AF31" s="213">
        <f t="shared" si="28"/>
        <v>885.47305770000003</v>
      </c>
      <c r="AG31" s="213">
        <f t="shared" si="28"/>
        <v>874.90949999999998</v>
      </c>
      <c r="AH31" s="213">
        <f t="shared" si="28"/>
        <v>3.3058499999999999E-3</v>
      </c>
      <c r="AI31" s="213">
        <f t="shared" si="28"/>
        <v>3.5728500000000003E-2</v>
      </c>
      <c r="AJ31" s="213">
        <f t="shared" si="28"/>
        <v>35.120522069118152</v>
      </c>
      <c r="AK31" t="s">
        <v>424</v>
      </c>
      <c r="AL31" t="s">
        <v>790</v>
      </c>
    </row>
    <row r="32" spans="1:38" ht="15.75" thickBot="1" x14ac:dyDescent="0.3">
      <c r="A32" s="4" t="s">
        <v>2</v>
      </c>
      <c r="B32" s="7" t="s">
        <v>15</v>
      </c>
      <c r="C32" s="5" t="s">
        <v>3</v>
      </c>
      <c r="D32" s="6" t="s">
        <v>6</v>
      </c>
      <c r="E32" s="6" t="str">
        <f t="shared" si="1"/>
        <v>Pesado de Passageiros M3: II : Gasóleo : E6</v>
      </c>
      <c r="F32" s="6" t="s">
        <v>55</v>
      </c>
      <c r="G32" s="6" t="s">
        <v>96</v>
      </c>
      <c r="H32" s="9">
        <f>IF(G32="MJ",INDEX(Tabela1[Energia (MJ/Qtd.)],MATCH(C32,Tabela1[Fuel],0)),IF(G32="GJ",INDEX(Tabela1[Energia (GJ/Qtd.)2],MATCH(C32,Tabela1[Fuel],0)),"XXX"))</f>
        <v>3.5868000000000004E-2</v>
      </c>
      <c r="I32" s="213">
        <f t="shared" ref="I32:AJ32" si="29">65%*I56+35%*I8</f>
        <v>70160.231050000002</v>
      </c>
      <c r="J32" s="213">
        <f t="shared" si="29"/>
        <v>70173.262900000002</v>
      </c>
      <c r="K32" s="213">
        <f t="shared" si="29"/>
        <v>70136.243499999997</v>
      </c>
      <c r="L32" s="213">
        <f t="shared" si="29"/>
        <v>70147.178499999995</v>
      </c>
      <c r="M32" s="213">
        <f t="shared" si="29"/>
        <v>70234.559500000003</v>
      </c>
      <c r="N32" s="213">
        <f t="shared" si="29"/>
        <v>70219.037500000006</v>
      </c>
      <c r="O32" s="213">
        <f t="shared" si="29"/>
        <v>69334</v>
      </c>
      <c r="P32" s="213">
        <f t="shared" si="29"/>
        <v>0.2445</v>
      </c>
      <c r="Q32" s="213">
        <f t="shared" si="29"/>
        <v>3.0015000000000001</v>
      </c>
      <c r="R32" s="213">
        <f t="shared" si="29"/>
        <v>2516.5071673014004</v>
      </c>
      <c r="S32" s="213">
        <f t="shared" si="29"/>
        <v>2516.9745936972008</v>
      </c>
      <c r="T32" s="213">
        <f t="shared" si="29"/>
        <v>2515.6467818580004</v>
      </c>
      <c r="U32" s="213">
        <f t="shared" si="29"/>
        <v>2516.0389984380004</v>
      </c>
      <c r="V32" s="213">
        <f t="shared" si="29"/>
        <v>2519.1731801460005</v>
      </c>
      <c r="W32" s="213">
        <f t="shared" si="29"/>
        <v>2518.6164370500001</v>
      </c>
      <c r="X32" s="213">
        <f t="shared" si="29"/>
        <v>2486.8719120000005</v>
      </c>
      <c r="Y32" s="213">
        <f t="shared" si="29"/>
        <v>8.7697260000000003E-3</v>
      </c>
      <c r="Z32" s="213">
        <f t="shared" si="29"/>
        <v>0.107657802</v>
      </c>
      <c r="AA32" s="213">
        <f t="shared" si="29"/>
        <v>906.88131871500013</v>
      </c>
      <c r="AB32" s="213">
        <f t="shared" si="29"/>
        <v>907.05752052000003</v>
      </c>
      <c r="AC32" s="213">
        <f t="shared" si="29"/>
        <v>906.58714129999998</v>
      </c>
      <c r="AD32" s="213">
        <f t="shared" si="29"/>
        <v>906.73876124999992</v>
      </c>
      <c r="AE32" s="213">
        <f t="shared" si="29"/>
        <v>907.79206924999994</v>
      </c>
      <c r="AF32" s="213">
        <f t="shared" si="29"/>
        <v>907.61612270000001</v>
      </c>
      <c r="AG32" s="213">
        <f t="shared" si="29"/>
        <v>896.73900000000003</v>
      </c>
      <c r="AH32" s="213">
        <f t="shared" si="29"/>
        <v>3.3058499999999999E-3</v>
      </c>
      <c r="AI32" s="213">
        <f t="shared" si="29"/>
        <v>3.6813499999999999E-2</v>
      </c>
      <c r="AJ32" s="213">
        <f t="shared" si="29"/>
        <v>36.055955571516733</v>
      </c>
      <c r="AK32" t="s">
        <v>424</v>
      </c>
      <c r="AL32" t="s">
        <v>790</v>
      </c>
    </row>
    <row r="33" spans="1:38" ht="15.75" thickBot="1" x14ac:dyDescent="0.3">
      <c r="A33" s="4" t="s">
        <v>2</v>
      </c>
      <c r="B33" s="7" t="s">
        <v>15</v>
      </c>
      <c r="C33" s="5" t="s">
        <v>3</v>
      </c>
      <c r="D33" s="6" t="s">
        <v>81</v>
      </c>
      <c r="E33" s="6" t="str">
        <f t="shared" si="1"/>
        <v>Pesado de Passageiros M3: II : Gasóleo : E6 D/E E7</v>
      </c>
      <c r="F33" s="6" t="s">
        <v>55</v>
      </c>
      <c r="G33" s="6" t="s">
        <v>96</v>
      </c>
      <c r="H33" s="9">
        <f>IF(G33="MJ",INDEX(Tabela1[Energia (MJ/Qtd.)],MATCH(C33,Tabela1[Fuel],0)),IF(G33="GJ",INDEX(Tabela1[Energia (GJ/Qtd.)2],MATCH(C33,Tabela1[Fuel],0)),"XXX"))</f>
        <v>3.5868000000000004E-2</v>
      </c>
      <c r="I33" s="213">
        <f t="shared" ref="I33:AJ33" si="30">65%*I57+35%*I9</f>
        <v>70159.275550000006</v>
      </c>
      <c r="J33" s="213">
        <f t="shared" si="30"/>
        <v>70172.307400000005</v>
      </c>
      <c r="K33" s="213">
        <f t="shared" si="30"/>
        <v>70135.316000000006</v>
      </c>
      <c r="L33" s="213">
        <f t="shared" si="30"/>
        <v>70146.254499999995</v>
      </c>
      <c r="M33" s="213">
        <f t="shared" si="30"/>
        <v>70233.516499999998</v>
      </c>
      <c r="N33" s="213">
        <f t="shared" si="30"/>
        <v>70218.026000000013</v>
      </c>
      <c r="O33" s="213">
        <f t="shared" si="30"/>
        <v>69334</v>
      </c>
      <c r="P33" s="213">
        <f t="shared" si="30"/>
        <v>0.2445</v>
      </c>
      <c r="Q33" s="213">
        <f t="shared" si="30"/>
        <v>2.9980000000000002</v>
      </c>
      <c r="R33" s="213">
        <f t="shared" si="30"/>
        <v>2516.4728954274005</v>
      </c>
      <c r="S33" s="213">
        <f t="shared" si="30"/>
        <v>2516.940321823201</v>
      </c>
      <c r="T33" s="213">
        <f t="shared" si="30"/>
        <v>2515.6135142880003</v>
      </c>
      <c r="U33" s="213">
        <f t="shared" si="30"/>
        <v>2516.0058564060005</v>
      </c>
      <c r="V33" s="213">
        <f t="shared" si="30"/>
        <v>2519.1357698220008</v>
      </c>
      <c r="W33" s="213">
        <f t="shared" si="30"/>
        <v>2518.5801565680003</v>
      </c>
      <c r="X33" s="213">
        <f t="shared" si="30"/>
        <v>2486.8719120000005</v>
      </c>
      <c r="Y33" s="213">
        <f t="shared" si="30"/>
        <v>8.7697260000000003E-3</v>
      </c>
      <c r="Z33" s="213">
        <f t="shared" si="30"/>
        <v>0.107532264</v>
      </c>
      <c r="AA33" s="213">
        <f t="shared" si="30"/>
        <v>909.973318715</v>
      </c>
      <c r="AB33" s="213">
        <f t="shared" si="30"/>
        <v>910.14952052000012</v>
      </c>
      <c r="AC33" s="213">
        <f t="shared" si="30"/>
        <v>909.67914130000008</v>
      </c>
      <c r="AD33" s="213">
        <f t="shared" si="30"/>
        <v>909.83076125000002</v>
      </c>
      <c r="AE33" s="213">
        <f t="shared" si="30"/>
        <v>910.88406925000004</v>
      </c>
      <c r="AF33" s="213">
        <f t="shared" si="30"/>
        <v>910.70812269999999</v>
      </c>
      <c r="AG33" s="213">
        <f t="shared" si="30"/>
        <v>899.83100000000002</v>
      </c>
      <c r="AH33" s="213">
        <f t="shared" si="30"/>
        <v>3.3058499999999999E-3</v>
      </c>
      <c r="AI33" s="213">
        <f t="shared" si="30"/>
        <v>3.6813499999999999E-2</v>
      </c>
      <c r="AJ33" s="213">
        <f t="shared" si="30"/>
        <v>36.180257243872106</v>
      </c>
      <c r="AK33" t="s">
        <v>424</v>
      </c>
      <c r="AL33" t="s">
        <v>790</v>
      </c>
    </row>
    <row r="34" spans="1:38" ht="15.75" thickBot="1" x14ac:dyDescent="0.3">
      <c r="A34" s="4" t="s">
        <v>2</v>
      </c>
      <c r="B34" s="7" t="s">
        <v>15</v>
      </c>
      <c r="C34" s="5" t="s">
        <v>92</v>
      </c>
      <c r="D34" s="6" t="s">
        <v>8</v>
      </c>
      <c r="E34" s="6" t="str">
        <f t="shared" si="1"/>
        <v>Pesado de Passageiros M3: II : GNC : E0</v>
      </c>
      <c r="F34" s="6" t="s">
        <v>56</v>
      </c>
      <c r="G34" s="6" t="s">
        <v>96</v>
      </c>
      <c r="H34" s="9">
        <f>IF(G34="MJ",INDEX(Tabela1[Energia (MJ/Qtd.)],MATCH(C34,Tabela1[Fuel],0)),IF(G34="GJ",INDEX(Tabela1[Energia (GJ/Qtd.)2],MATCH(C34,Tabela1[Fuel],0)),"XXX"))</f>
        <v>3.7521600000000002E-2</v>
      </c>
      <c r="I34" s="17">
        <v>-1</v>
      </c>
      <c r="J34" s="17">
        <v>-1</v>
      </c>
      <c r="K34" s="17">
        <v>-1</v>
      </c>
      <c r="L34" s="17">
        <v>-1</v>
      </c>
      <c r="M34" s="17">
        <v>-1</v>
      </c>
      <c r="N34" s="17">
        <v>-1</v>
      </c>
      <c r="O34" s="17">
        <v>-1</v>
      </c>
      <c r="P34" s="17">
        <v>-1</v>
      </c>
      <c r="Q34" s="17">
        <v>-1</v>
      </c>
      <c r="R34" s="17">
        <f>X34*'PAG100 FE GE'!$E$2+Y34*'PAG100 FE GE'!$E$3+Z34*'PAG100 FE GE'!$E$4</f>
        <v>-301.89999999999998</v>
      </c>
      <c r="S34" s="17">
        <f>X34*'PAG20 FE GE'!$E$2+Y34*'PAG20 FE GE'!$E$3+Z34*'PAG20 FE GE'!$E$4</f>
        <v>-355.2</v>
      </c>
      <c r="T34" s="17">
        <f>X34*'PAG100 FE GE'!$D$2+Y34*'PAG100 FE GE'!$D$3+Z34*'PAG100 FE GE'!$D$4</f>
        <v>-294</v>
      </c>
      <c r="U34" s="17">
        <f>X34*'PAG20 FE GE'!$D$2+Y34*'PAG20 FE GE'!$D$3+Z34*'PAG20 FE GE'!$D$4</f>
        <v>-350</v>
      </c>
      <c r="V34" s="17">
        <f>X34*'PAG100 FE GE'!$C$2+Y34*'PAG100 FE GE'!$C$3+Z34*'PAG100 FE GE'!$C$4</f>
        <v>-324</v>
      </c>
      <c r="W34" s="17">
        <f>X34*'PAG20 FE GE'!$C$2+Y34*'PAG20 FE GE'!$C$3+Z34*'PAG20 FE GE'!$C$4</f>
        <v>-362</v>
      </c>
      <c r="X34" s="17">
        <v>-1</v>
      </c>
      <c r="Y34" s="17">
        <v>-1</v>
      </c>
      <c r="Z34" s="17">
        <v>-1</v>
      </c>
      <c r="AA34" s="17">
        <f>AG34*'PAG100 FE GE'!$E$2+AH34*'PAG100 FE GE'!$E$3+AI34*'PAG100 FE GE'!$E$4</f>
        <v>-301.89999999999998</v>
      </c>
      <c r="AB34" s="17">
        <f>AG34*'PAG20 FE GE'!$E$2+AH34*'PAG20 FE GE'!$E$3+AI34*'PAG20 FE GE'!$E$4</f>
        <v>-355.2</v>
      </c>
      <c r="AC34" s="17">
        <f>AG34*'PAG100 FE GE'!$D$2+AH34*'PAG100 FE GE'!$D$3+AI34*'PAG100 FE GE'!$D$4</f>
        <v>-294</v>
      </c>
      <c r="AD34" s="17">
        <f>AG34*'PAG20 FE GE'!$D$2+AH34*'PAG20 FE GE'!$D$3+AI34*'PAG20 FE GE'!$D$4</f>
        <v>-350</v>
      </c>
      <c r="AE34" s="17">
        <f>AG34*'PAG100 FE GE'!$C$2+AH34*'PAG100 FE GE'!$C$3+AI34*'PAG100 FE GE'!$C$4</f>
        <v>-324</v>
      </c>
      <c r="AF34" s="17">
        <f>AG34*'PAG20 FE GE'!$C$2+AH34*'PAG20 FE GE'!$C$3+AI34*'PAG20 FE GE'!$C$4</f>
        <v>-362</v>
      </c>
      <c r="AG34" s="17">
        <v>-1</v>
      </c>
      <c r="AH34" s="17">
        <v>-1</v>
      </c>
      <c r="AI34" s="17">
        <v>-1</v>
      </c>
      <c r="AJ34" s="17">
        <v>-1</v>
      </c>
      <c r="AK34" t="s">
        <v>424</v>
      </c>
      <c r="AL34" t="s">
        <v>790</v>
      </c>
    </row>
    <row r="35" spans="1:38" ht="15.75" thickBot="1" x14ac:dyDescent="0.3">
      <c r="A35" s="4" t="s">
        <v>2</v>
      </c>
      <c r="B35" s="7" t="s">
        <v>15</v>
      </c>
      <c r="C35" s="5" t="s">
        <v>92</v>
      </c>
      <c r="D35" s="6" t="s">
        <v>7</v>
      </c>
      <c r="E35" s="6" t="str">
        <f t="shared" si="1"/>
        <v>Pesado de Passageiros M3: II : GNC : E1</v>
      </c>
      <c r="F35" s="6" t="s">
        <v>56</v>
      </c>
      <c r="G35" s="6" t="s">
        <v>96</v>
      </c>
      <c r="H35" s="9">
        <f>IF(G35="MJ",INDEX(Tabela1[Energia (MJ/Qtd.)],MATCH(C35,Tabela1[Fuel],0)),IF(G35="GJ",INDEX(Tabela1[Energia (GJ/Qtd.)2],MATCH(C35,Tabela1[Fuel],0)),"XXX"))</f>
        <v>3.7521600000000002E-2</v>
      </c>
      <c r="I35" s="17">
        <v>-1</v>
      </c>
      <c r="J35" s="17">
        <v>-1</v>
      </c>
      <c r="K35" s="17">
        <v>-1</v>
      </c>
      <c r="L35" s="17">
        <v>-1</v>
      </c>
      <c r="M35" s="17">
        <v>-1</v>
      </c>
      <c r="N35" s="17">
        <v>-1</v>
      </c>
      <c r="O35" s="17">
        <v>-1</v>
      </c>
      <c r="P35" s="17">
        <v>-1</v>
      </c>
      <c r="Q35" s="17">
        <v>-1</v>
      </c>
      <c r="R35" s="17">
        <f>X35*'PAG100 FE GE'!$E$2+Y35*'PAG100 FE GE'!$E$3+Z35*'PAG100 FE GE'!$E$4</f>
        <v>-301.89999999999998</v>
      </c>
      <c r="S35" s="17">
        <f>X35*'PAG20 FE GE'!$E$2+Y35*'PAG20 FE GE'!$E$3+Z35*'PAG20 FE GE'!$E$4</f>
        <v>-355.2</v>
      </c>
      <c r="T35" s="17">
        <f>X35*'PAG100 FE GE'!$D$2+Y35*'PAG100 FE GE'!$D$3+Z35*'PAG100 FE GE'!$D$4</f>
        <v>-294</v>
      </c>
      <c r="U35" s="17">
        <f>X35*'PAG20 FE GE'!$D$2+Y35*'PAG20 FE GE'!$D$3+Z35*'PAG20 FE GE'!$D$4</f>
        <v>-350</v>
      </c>
      <c r="V35" s="17">
        <f>X35*'PAG100 FE GE'!$C$2+Y35*'PAG100 FE GE'!$C$3+Z35*'PAG100 FE GE'!$C$4</f>
        <v>-324</v>
      </c>
      <c r="W35" s="17">
        <f>X35*'PAG20 FE GE'!$C$2+Y35*'PAG20 FE GE'!$C$3+Z35*'PAG20 FE GE'!$C$4</f>
        <v>-362</v>
      </c>
      <c r="X35" s="17">
        <v>-1</v>
      </c>
      <c r="Y35" s="17">
        <v>-1</v>
      </c>
      <c r="Z35" s="17">
        <v>-1</v>
      </c>
      <c r="AA35" s="17">
        <f>AG35*'PAG100 FE GE'!$E$2+AH35*'PAG100 FE GE'!$E$3+AI35*'PAG100 FE GE'!$E$4</f>
        <v>-301.89999999999998</v>
      </c>
      <c r="AB35" s="17">
        <f>AG35*'PAG20 FE GE'!$E$2+AH35*'PAG20 FE GE'!$E$3+AI35*'PAG20 FE GE'!$E$4</f>
        <v>-355.2</v>
      </c>
      <c r="AC35" s="17">
        <f>AG35*'PAG100 FE GE'!$D$2+AH35*'PAG100 FE GE'!$D$3+AI35*'PAG100 FE GE'!$D$4</f>
        <v>-294</v>
      </c>
      <c r="AD35" s="17">
        <f>AG35*'PAG20 FE GE'!$D$2+AH35*'PAG20 FE GE'!$D$3+AI35*'PAG20 FE GE'!$D$4</f>
        <v>-350</v>
      </c>
      <c r="AE35" s="17">
        <f>AG35*'PAG100 FE GE'!$C$2+AH35*'PAG100 FE GE'!$C$3+AI35*'PAG100 FE GE'!$C$4</f>
        <v>-324</v>
      </c>
      <c r="AF35" s="17">
        <f>AG35*'PAG20 FE GE'!$C$2+AH35*'PAG20 FE GE'!$C$3+AI35*'PAG20 FE GE'!$C$4</f>
        <v>-362</v>
      </c>
      <c r="AG35" s="17">
        <v>-1</v>
      </c>
      <c r="AH35" s="17">
        <v>-1</v>
      </c>
      <c r="AI35" s="17">
        <v>-1</v>
      </c>
      <c r="AJ35" s="17">
        <v>-1</v>
      </c>
      <c r="AK35" t="s">
        <v>424</v>
      </c>
      <c r="AL35" t="s">
        <v>790</v>
      </c>
    </row>
    <row r="36" spans="1:38" ht="15.75" thickBot="1" x14ac:dyDescent="0.3">
      <c r="A36" s="4" t="s">
        <v>2</v>
      </c>
      <c r="B36" s="7" t="s">
        <v>15</v>
      </c>
      <c r="C36" s="5" t="s">
        <v>92</v>
      </c>
      <c r="D36" s="6" t="s">
        <v>9</v>
      </c>
      <c r="E36" s="6" t="str">
        <f t="shared" si="1"/>
        <v>Pesado de Passageiros M3: II : GNC : E2</v>
      </c>
      <c r="F36" s="6" t="s">
        <v>56</v>
      </c>
      <c r="G36" s="6" t="s">
        <v>96</v>
      </c>
      <c r="H36" s="9">
        <f>IF(G36="MJ",INDEX(Tabela1[Energia (MJ/Qtd.)],MATCH(C36,Tabela1[Fuel],0)),IF(G36="GJ",INDEX(Tabela1[Energia (GJ/Qtd.)2],MATCH(C36,Tabela1[Fuel],0)),"XXX"))</f>
        <v>3.7521600000000002E-2</v>
      </c>
      <c r="I36" s="17">
        <v>-1</v>
      </c>
      <c r="J36" s="17">
        <v>-1</v>
      </c>
      <c r="K36" s="17">
        <v>-1</v>
      </c>
      <c r="L36" s="17">
        <v>-1</v>
      </c>
      <c r="M36" s="17">
        <v>-1</v>
      </c>
      <c r="N36" s="17">
        <v>-1</v>
      </c>
      <c r="O36" s="17">
        <v>-1</v>
      </c>
      <c r="P36" s="17">
        <v>-1</v>
      </c>
      <c r="Q36" s="17">
        <v>-1</v>
      </c>
      <c r="R36" s="17">
        <f>X36*'PAG100 FE GE'!$E$2+Y36*'PAG100 FE GE'!$E$3+Z36*'PAG100 FE GE'!$E$4</f>
        <v>-301.89999999999998</v>
      </c>
      <c r="S36" s="17">
        <f>X36*'PAG20 FE GE'!$E$2+Y36*'PAG20 FE GE'!$E$3+Z36*'PAG20 FE GE'!$E$4</f>
        <v>-355.2</v>
      </c>
      <c r="T36" s="17">
        <f>X36*'PAG100 FE GE'!$D$2+Y36*'PAG100 FE GE'!$D$3+Z36*'PAG100 FE GE'!$D$4</f>
        <v>-294</v>
      </c>
      <c r="U36" s="17">
        <f>X36*'PAG20 FE GE'!$D$2+Y36*'PAG20 FE GE'!$D$3+Z36*'PAG20 FE GE'!$D$4</f>
        <v>-350</v>
      </c>
      <c r="V36" s="17">
        <f>X36*'PAG100 FE GE'!$C$2+Y36*'PAG100 FE GE'!$C$3+Z36*'PAG100 FE GE'!$C$4</f>
        <v>-324</v>
      </c>
      <c r="W36" s="17">
        <f>X36*'PAG20 FE GE'!$C$2+Y36*'PAG20 FE GE'!$C$3+Z36*'PAG20 FE GE'!$C$4</f>
        <v>-362</v>
      </c>
      <c r="X36" s="17">
        <v>-1</v>
      </c>
      <c r="Y36" s="17">
        <v>-1</v>
      </c>
      <c r="Z36" s="17">
        <v>-1</v>
      </c>
      <c r="AA36" s="17">
        <f>AG36*'PAG100 FE GE'!$E$2+AH36*'PAG100 FE GE'!$E$3+AI36*'PAG100 FE GE'!$E$4</f>
        <v>-301.89999999999998</v>
      </c>
      <c r="AB36" s="17">
        <f>AG36*'PAG20 FE GE'!$E$2+AH36*'PAG20 FE GE'!$E$3+AI36*'PAG20 FE GE'!$E$4</f>
        <v>-355.2</v>
      </c>
      <c r="AC36" s="17">
        <f>AG36*'PAG100 FE GE'!$D$2+AH36*'PAG100 FE GE'!$D$3+AI36*'PAG100 FE GE'!$D$4</f>
        <v>-294</v>
      </c>
      <c r="AD36" s="17">
        <f>AG36*'PAG20 FE GE'!$D$2+AH36*'PAG20 FE GE'!$D$3+AI36*'PAG20 FE GE'!$D$4</f>
        <v>-350</v>
      </c>
      <c r="AE36" s="17">
        <f>AG36*'PAG100 FE GE'!$C$2+AH36*'PAG100 FE GE'!$C$3+AI36*'PAG100 FE GE'!$C$4</f>
        <v>-324</v>
      </c>
      <c r="AF36" s="17">
        <f>AG36*'PAG20 FE GE'!$C$2+AH36*'PAG20 FE GE'!$C$3+AI36*'PAG20 FE GE'!$C$4</f>
        <v>-362</v>
      </c>
      <c r="AG36" s="17">
        <v>-1</v>
      </c>
      <c r="AH36" s="17">
        <v>-1</v>
      </c>
      <c r="AI36" s="17">
        <v>-1</v>
      </c>
      <c r="AJ36" s="17">
        <v>-1</v>
      </c>
      <c r="AK36" t="s">
        <v>424</v>
      </c>
      <c r="AL36" t="s">
        <v>790</v>
      </c>
    </row>
    <row r="37" spans="1:38" ht="15.75" thickBot="1" x14ac:dyDescent="0.3">
      <c r="A37" s="4" t="s">
        <v>2</v>
      </c>
      <c r="B37" s="7" t="s">
        <v>15</v>
      </c>
      <c r="C37" s="5" t="s">
        <v>92</v>
      </c>
      <c r="D37" s="6" t="s">
        <v>10</v>
      </c>
      <c r="E37" s="6" t="str">
        <f t="shared" si="1"/>
        <v>Pesado de Passageiros M3: II : GNC : E3</v>
      </c>
      <c r="F37" s="6" t="s">
        <v>56</v>
      </c>
      <c r="G37" s="6" t="s">
        <v>96</v>
      </c>
      <c r="H37" s="9">
        <f>IF(G37="MJ",INDEX(Tabela1[Energia (MJ/Qtd.)],MATCH(C37,Tabela1[Fuel],0)),IF(G37="GJ",INDEX(Tabela1[Energia (GJ/Qtd.)2],MATCH(C37,Tabela1[Fuel],0)),"XXX"))</f>
        <v>3.7521600000000002E-2</v>
      </c>
      <c r="I37" s="17">
        <v>-1</v>
      </c>
      <c r="J37" s="17">
        <v>-1</v>
      </c>
      <c r="K37" s="17">
        <v>-1</v>
      </c>
      <c r="L37" s="17">
        <v>-1</v>
      </c>
      <c r="M37" s="17">
        <v>-1</v>
      </c>
      <c r="N37" s="17">
        <v>-1</v>
      </c>
      <c r="O37" s="17">
        <v>-1</v>
      </c>
      <c r="P37" s="17">
        <v>-1</v>
      </c>
      <c r="Q37" s="17">
        <v>-1</v>
      </c>
      <c r="R37" s="17">
        <f>X37*'PAG100 FE GE'!$E$2+Y37*'PAG100 FE GE'!$E$3+Z37*'PAG100 FE GE'!$E$4</f>
        <v>-301.89999999999998</v>
      </c>
      <c r="S37" s="17">
        <f>X37*'PAG20 FE GE'!$E$2+Y37*'PAG20 FE GE'!$E$3+Z37*'PAG20 FE GE'!$E$4</f>
        <v>-355.2</v>
      </c>
      <c r="T37" s="17">
        <f>X37*'PAG100 FE GE'!$D$2+Y37*'PAG100 FE GE'!$D$3+Z37*'PAG100 FE GE'!$D$4</f>
        <v>-294</v>
      </c>
      <c r="U37" s="17">
        <f>X37*'PAG20 FE GE'!$D$2+Y37*'PAG20 FE GE'!$D$3+Z37*'PAG20 FE GE'!$D$4</f>
        <v>-350</v>
      </c>
      <c r="V37" s="17">
        <f>X37*'PAG100 FE GE'!$C$2+Y37*'PAG100 FE GE'!$C$3+Z37*'PAG100 FE GE'!$C$4</f>
        <v>-324</v>
      </c>
      <c r="W37" s="17">
        <f>X37*'PAG20 FE GE'!$C$2+Y37*'PAG20 FE GE'!$C$3+Z37*'PAG20 FE GE'!$C$4</f>
        <v>-362</v>
      </c>
      <c r="X37" s="17">
        <v>-1</v>
      </c>
      <c r="Y37" s="17">
        <v>-1</v>
      </c>
      <c r="Z37" s="17">
        <v>-1</v>
      </c>
      <c r="AA37" s="17">
        <f>AG37*'PAG100 FE GE'!$E$2+AH37*'PAG100 FE GE'!$E$3+AI37*'PAG100 FE GE'!$E$4</f>
        <v>-301.89999999999998</v>
      </c>
      <c r="AB37" s="17">
        <f>AG37*'PAG20 FE GE'!$E$2+AH37*'PAG20 FE GE'!$E$3+AI37*'PAG20 FE GE'!$E$4</f>
        <v>-355.2</v>
      </c>
      <c r="AC37" s="17">
        <f>AG37*'PAG100 FE GE'!$D$2+AH37*'PAG100 FE GE'!$D$3+AI37*'PAG100 FE GE'!$D$4</f>
        <v>-294</v>
      </c>
      <c r="AD37" s="17">
        <f>AG37*'PAG20 FE GE'!$D$2+AH37*'PAG20 FE GE'!$D$3+AI37*'PAG20 FE GE'!$D$4</f>
        <v>-350</v>
      </c>
      <c r="AE37" s="17">
        <f>AG37*'PAG100 FE GE'!$C$2+AH37*'PAG100 FE GE'!$C$3+AI37*'PAG100 FE GE'!$C$4</f>
        <v>-324</v>
      </c>
      <c r="AF37" s="17">
        <f>AG37*'PAG20 FE GE'!$C$2+AH37*'PAG20 FE GE'!$C$3+AI37*'PAG20 FE GE'!$C$4</f>
        <v>-362</v>
      </c>
      <c r="AG37" s="17">
        <v>-1</v>
      </c>
      <c r="AH37" s="17">
        <v>-1</v>
      </c>
      <c r="AI37" s="17">
        <v>-1</v>
      </c>
      <c r="AJ37" s="17">
        <v>-1</v>
      </c>
      <c r="AK37" t="s">
        <v>424</v>
      </c>
      <c r="AL37" t="s">
        <v>790</v>
      </c>
    </row>
    <row r="38" spans="1:38" ht="15.75" thickBot="1" x14ac:dyDescent="0.3">
      <c r="A38" s="4" t="s">
        <v>2</v>
      </c>
      <c r="B38" s="7" t="s">
        <v>15</v>
      </c>
      <c r="C38" s="5" t="s">
        <v>92</v>
      </c>
      <c r="D38" s="6" t="s">
        <v>4</v>
      </c>
      <c r="E38" s="6" t="str">
        <f t="shared" si="1"/>
        <v>Pesado de Passageiros M3: II : GNC : E4</v>
      </c>
      <c r="F38" s="6" t="s">
        <v>56</v>
      </c>
      <c r="G38" s="6" t="s">
        <v>96</v>
      </c>
      <c r="H38" s="9">
        <f>IF(G38="MJ",INDEX(Tabela1[Energia (MJ/Qtd.)],MATCH(C38,Tabela1[Fuel],0)),IF(G38="GJ",INDEX(Tabela1[Energia (GJ/Qtd.)2],MATCH(C38,Tabela1[Fuel],0)),"XXX"))</f>
        <v>3.7521600000000002E-2</v>
      </c>
      <c r="I38" s="17">
        <v>-1</v>
      </c>
      <c r="J38" s="17">
        <v>-1</v>
      </c>
      <c r="K38" s="17">
        <v>-1</v>
      </c>
      <c r="L38" s="17">
        <v>-1</v>
      </c>
      <c r="M38" s="17">
        <v>-1</v>
      </c>
      <c r="N38" s="17">
        <v>-1</v>
      </c>
      <c r="O38" s="17">
        <v>-1</v>
      </c>
      <c r="P38" s="17">
        <v>-1</v>
      </c>
      <c r="Q38" s="17">
        <v>-1</v>
      </c>
      <c r="R38" s="17">
        <f>X38*'PAG100 FE GE'!$E$2+Y38*'PAG100 FE GE'!$E$3+Z38*'PAG100 FE GE'!$E$4</f>
        <v>-301.89999999999998</v>
      </c>
      <c r="S38" s="17">
        <f>X38*'PAG20 FE GE'!$E$2+Y38*'PAG20 FE GE'!$E$3+Z38*'PAG20 FE GE'!$E$4</f>
        <v>-355.2</v>
      </c>
      <c r="T38" s="17">
        <f>X38*'PAG100 FE GE'!$D$2+Y38*'PAG100 FE GE'!$D$3+Z38*'PAG100 FE GE'!$D$4</f>
        <v>-294</v>
      </c>
      <c r="U38" s="17">
        <f>X38*'PAG20 FE GE'!$D$2+Y38*'PAG20 FE GE'!$D$3+Z38*'PAG20 FE GE'!$D$4</f>
        <v>-350</v>
      </c>
      <c r="V38" s="17">
        <f>X38*'PAG100 FE GE'!$C$2+Y38*'PAG100 FE GE'!$C$3+Z38*'PAG100 FE GE'!$C$4</f>
        <v>-324</v>
      </c>
      <c r="W38" s="17">
        <f>X38*'PAG20 FE GE'!$C$2+Y38*'PAG20 FE GE'!$C$3+Z38*'PAG20 FE GE'!$C$4</f>
        <v>-362</v>
      </c>
      <c r="X38" s="17">
        <v>-1</v>
      </c>
      <c r="Y38" s="17">
        <v>-1</v>
      </c>
      <c r="Z38" s="17">
        <v>-1</v>
      </c>
      <c r="AA38" s="17">
        <f>AG38*'PAG100 FE GE'!$E$2+AH38*'PAG100 FE GE'!$E$3+AI38*'PAG100 FE GE'!$E$4</f>
        <v>-301.89999999999998</v>
      </c>
      <c r="AB38" s="17">
        <f>AG38*'PAG20 FE GE'!$E$2+AH38*'PAG20 FE GE'!$E$3+AI38*'PAG20 FE GE'!$E$4</f>
        <v>-355.2</v>
      </c>
      <c r="AC38" s="17">
        <f>AG38*'PAG100 FE GE'!$D$2+AH38*'PAG100 FE GE'!$D$3+AI38*'PAG100 FE GE'!$D$4</f>
        <v>-294</v>
      </c>
      <c r="AD38" s="17">
        <f>AG38*'PAG20 FE GE'!$D$2+AH38*'PAG20 FE GE'!$D$3+AI38*'PAG20 FE GE'!$D$4</f>
        <v>-350</v>
      </c>
      <c r="AE38" s="17">
        <f>AG38*'PAG100 FE GE'!$C$2+AH38*'PAG100 FE GE'!$C$3+AI38*'PAG100 FE GE'!$C$4</f>
        <v>-324</v>
      </c>
      <c r="AF38" s="17">
        <f>AG38*'PAG20 FE GE'!$C$2+AH38*'PAG20 FE GE'!$C$3+AI38*'PAG20 FE GE'!$C$4</f>
        <v>-362</v>
      </c>
      <c r="AG38" s="17">
        <v>-1</v>
      </c>
      <c r="AH38" s="17">
        <v>-1</v>
      </c>
      <c r="AI38" s="17">
        <v>-1</v>
      </c>
      <c r="AJ38" s="17">
        <v>-1</v>
      </c>
      <c r="AK38" t="s">
        <v>424</v>
      </c>
      <c r="AL38" t="s">
        <v>790</v>
      </c>
    </row>
    <row r="39" spans="1:38" ht="15.75" thickBot="1" x14ac:dyDescent="0.3">
      <c r="A39" s="4" t="s">
        <v>2</v>
      </c>
      <c r="B39" s="7" t="s">
        <v>15</v>
      </c>
      <c r="C39" s="5" t="s">
        <v>92</v>
      </c>
      <c r="D39" s="6" t="s">
        <v>5</v>
      </c>
      <c r="E39" s="6" t="str">
        <f t="shared" si="1"/>
        <v>Pesado de Passageiros M3: II : GNC : E5</v>
      </c>
      <c r="F39" s="6" t="s">
        <v>56</v>
      </c>
      <c r="G39" s="6" t="s">
        <v>96</v>
      </c>
      <c r="H39" s="9">
        <f>IF(G39="MJ",INDEX(Tabela1[Energia (MJ/Qtd.)],MATCH(C39,Tabela1[Fuel],0)),IF(G39="GJ",INDEX(Tabela1[Energia (GJ/Qtd.)2],MATCH(C39,Tabela1[Fuel],0)),"XXX"))</f>
        <v>3.7521600000000002E-2</v>
      </c>
      <c r="I39" s="17">
        <v>-1</v>
      </c>
      <c r="J39" s="17">
        <v>-1</v>
      </c>
      <c r="K39" s="17">
        <v>-1</v>
      </c>
      <c r="L39" s="17">
        <v>-1</v>
      </c>
      <c r="M39" s="17">
        <v>-1</v>
      </c>
      <c r="N39" s="17">
        <v>-1</v>
      </c>
      <c r="O39" s="17">
        <v>-1</v>
      </c>
      <c r="P39" s="17">
        <v>-1</v>
      </c>
      <c r="Q39" s="17">
        <v>-1</v>
      </c>
      <c r="R39" s="17">
        <f>X39*'PAG100 FE GE'!$E$2+Y39*'PAG100 FE GE'!$E$3+Z39*'PAG100 FE GE'!$E$4</f>
        <v>-301.89999999999998</v>
      </c>
      <c r="S39" s="17">
        <f>X39*'PAG20 FE GE'!$E$2+Y39*'PAG20 FE GE'!$E$3+Z39*'PAG20 FE GE'!$E$4</f>
        <v>-355.2</v>
      </c>
      <c r="T39" s="17">
        <f>X39*'PAG100 FE GE'!$D$2+Y39*'PAG100 FE GE'!$D$3+Z39*'PAG100 FE GE'!$D$4</f>
        <v>-294</v>
      </c>
      <c r="U39" s="17">
        <f>X39*'PAG20 FE GE'!$D$2+Y39*'PAG20 FE GE'!$D$3+Z39*'PAG20 FE GE'!$D$4</f>
        <v>-350</v>
      </c>
      <c r="V39" s="17">
        <f>X39*'PAG100 FE GE'!$C$2+Y39*'PAG100 FE GE'!$C$3+Z39*'PAG100 FE GE'!$C$4</f>
        <v>-324</v>
      </c>
      <c r="W39" s="17">
        <f>X39*'PAG20 FE GE'!$C$2+Y39*'PAG20 FE GE'!$C$3+Z39*'PAG20 FE GE'!$C$4</f>
        <v>-362</v>
      </c>
      <c r="X39" s="17">
        <v>-1</v>
      </c>
      <c r="Y39" s="17">
        <v>-1</v>
      </c>
      <c r="Z39" s="17">
        <v>-1</v>
      </c>
      <c r="AA39" s="17">
        <f>AG39*'PAG100 FE GE'!$E$2+AH39*'PAG100 FE GE'!$E$3+AI39*'PAG100 FE GE'!$E$4</f>
        <v>-301.89999999999998</v>
      </c>
      <c r="AB39" s="17">
        <f>AG39*'PAG20 FE GE'!$E$2+AH39*'PAG20 FE GE'!$E$3+AI39*'PAG20 FE GE'!$E$4</f>
        <v>-355.2</v>
      </c>
      <c r="AC39" s="17">
        <f>AG39*'PAG100 FE GE'!$D$2+AH39*'PAG100 FE GE'!$D$3+AI39*'PAG100 FE GE'!$D$4</f>
        <v>-294</v>
      </c>
      <c r="AD39" s="17">
        <f>AG39*'PAG20 FE GE'!$D$2+AH39*'PAG20 FE GE'!$D$3+AI39*'PAG20 FE GE'!$D$4</f>
        <v>-350</v>
      </c>
      <c r="AE39" s="17">
        <f>AG39*'PAG100 FE GE'!$C$2+AH39*'PAG100 FE GE'!$C$3+AI39*'PAG100 FE GE'!$C$4</f>
        <v>-324</v>
      </c>
      <c r="AF39" s="17">
        <f>AG39*'PAG20 FE GE'!$C$2+AH39*'PAG20 FE GE'!$C$3+AI39*'PAG20 FE GE'!$C$4</f>
        <v>-362</v>
      </c>
      <c r="AG39" s="17">
        <v>-1</v>
      </c>
      <c r="AH39" s="17">
        <v>-1</v>
      </c>
      <c r="AI39" s="17">
        <v>-1</v>
      </c>
      <c r="AJ39" s="17">
        <v>-1</v>
      </c>
      <c r="AK39" t="s">
        <v>424</v>
      </c>
      <c r="AL39" t="s">
        <v>790</v>
      </c>
    </row>
    <row r="40" spans="1:38" ht="15.75" thickBot="1" x14ac:dyDescent="0.3">
      <c r="A40" s="4" t="s">
        <v>2</v>
      </c>
      <c r="B40" s="7" t="s">
        <v>15</v>
      </c>
      <c r="C40" s="5" t="s">
        <v>92</v>
      </c>
      <c r="D40" s="6" t="s">
        <v>6</v>
      </c>
      <c r="E40" s="6" t="str">
        <f t="shared" si="1"/>
        <v>Pesado de Passageiros M3: II : GNC : E6</v>
      </c>
      <c r="F40" s="6" t="s">
        <v>56</v>
      </c>
      <c r="G40" s="6" t="s">
        <v>96</v>
      </c>
      <c r="H40" s="9">
        <f>IF(G40="MJ",INDEX(Tabela1[Energia (MJ/Qtd.)],MATCH(C40,Tabela1[Fuel],0)),IF(G40="GJ",INDEX(Tabela1[Energia (GJ/Qtd.)2],MATCH(C40,Tabela1[Fuel],0)),"XXX"))</f>
        <v>3.7521600000000002E-2</v>
      </c>
      <c r="I40" s="17">
        <v>-1</v>
      </c>
      <c r="J40" s="17">
        <v>-1</v>
      </c>
      <c r="K40" s="17">
        <v>-1</v>
      </c>
      <c r="L40" s="17">
        <v>-1</v>
      </c>
      <c r="M40" s="17">
        <v>-1</v>
      </c>
      <c r="N40" s="17">
        <v>-1</v>
      </c>
      <c r="O40" s="17">
        <v>-1</v>
      </c>
      <c r="P40" s="17">
        <v>-1</v>
      </c>
      <c r="Q40" s="17">
        <v>-1</v>
      </c>
      <c r="R40" s="17">
        <f>X40*'PAG100 FE GE'!$E$2+Y40*'PAG100 FE GE'!$E$3+Z40*'PAG100 FE GE'!$E$4</f>
        <v>-301.89999999999998</v>
      </c>
      <c r="S40" s="17">
        <f>X40*'PAG20 FE GE'!$E$2+Y40*'PAG20 FE GE'!$E$3+Z40*'PAG20 FE GE'!$E$4</f>
        <v>-355.2</v>
      </c>
      <c r="T40" s="17">
        <f>X40*'PAG100 FE GE'!$D$2+Y40*'PAG100 FE GE'!$D$3+Z40*'PAG100 FE GE'!$D$4</f>
        <v>-294</v>
      </c>
      <c r="U40" s="17">
        <f>X40*'PAG20 FE GE'!$D$2+Y40*'PAG20 FE GE'!$D$3+Z40*'PAG20 FE GE'!$D$4</f>
        <v>-350</v>
      </c>
      <c r="V40" s="17">
        <f>X40*'PAG100 FE GE'!$C$2+Y40*'PAG100 FE GE'!$C$3+Z40*'PAG100 FE GE'!$C$4</f>
        <v>-324</v>
      </c>
      <c r="W40" s="17">
        <f>X40*'PAG20 FE GE'!$C$2+Y40*'PAG20 FE GE'!$C$3+Z40*'PAG20 FE GE'!$C$4</f>
        <v>-362</v>
      </c>
      <c r="X40" s="17">
        <v>-1</v>
      </c>
      <c r="Y40" s="17">
        <v>-1</v>
      </c>
      <c r="Z40" s="17">
        <v>-1</v>
      </c>
      <c r="AA40" s="17">
        <f>AG40*'PAG100 FE GE'!$E$2+AH40*'PAG100 FE GE'!$E$3+AI40*'PAG100 FE GE'!$E$4</f>
        <v>-301.89999999999998</v>
      </c>
      <c r="AB40" s="17">
        <f>AG40*'PAG20 FE GE'!$E$2+AH40*'PAG20 FE GE'!$E$3+AI40*'PAG20 FE GE'!$E$4</f>
        <v>-355.2</v>
      </c>
      <c r="AC40" s="17">
        <f>AG40*'PAG100 FE GE'!$D$2+AH40*'PAG100 FE GE'!$D$3+AI40*'PAG100 FE GE'!$D$4</f>
        <v>-294</v>
      </c>
      <c r="AD40" s="17">
        <f>AG40*'PAG20 FE GE'!$D$2+AH40*'PAG20 FE GE'!$D$3+AI40*'PAG20 FE GE'!$D$4</f>
        <v>-350</v>
      </c>
      <c r="AE40" s="17">
        <f>AG40*'PAG100 FE GE'!$C$2+AH40*'PAG100 FE GE'!$C$3+AI40*'PAG100 FE GE'!$C$4</f>
        <v>-324</v>
      </c>
      <c r="AF40" s="17">
        <f>AG40*'PAG20 FE GE'!$C$2+AH40*'PAG20 FE GE'!$C$3+AI40*'PAG20 FE GE'!$C$4</f>
        <v>-362</v>
      </c>
      <c r="AG40" s="17">
        <v>-1</v>
      </c>
      <c r="AH40" s="17">
        <v>-1</v>
      </c>
      <c r="AI40" s="17">
        <v>-1</v>
      </c>
      <c r="AJ40" s="17">
        <v>-1</v>
      </c>
      <c r="AK40" t="s">
        <v>424</v>
      </c>
      <c r="AL40" t="s">
        <v>790</v>
      </c>
    </row>
    <row r="41" spans="1:38" ht="15.75" thickBot="1" x14ac:dyDescent="0.3">
      <c r="A41" s="4" t="s">
        <v>2</v>
      </c>
      <c r="B41" s="7" t="s">
        <v>15</v>
      </c>
      <c r="C41" s="5" t="s">
        <v>92</v>
      </c>
      <c r="D41" s="6" t="s">
        <v>81</v>
      </c>
      <c r="E41" s="6" t="str">
        <f t="shared" si="1"/>
        <v>Pesado de Passageiros M3: II : GNC : E6 D/E E7</v>
      </c>
      <c r="F41" s="6" t="s">
        <v>56</v>
      </c>
      <c r="G41" s="6" t="s">
        <v>96</v>
      </c>
      <c r="H41" s="9">
        <f>IF(G41="MJ",INDEX(Tabela1[Energia (MJ/Qtd.)],MATCH(C41,Tabela1[Fuel],0)),IF(G41="GJ",INDEX(Tabela1[Energia (GJ/Qtd.)2],MATCH(C41,Tabela1[Fuel],0)),"XXX"))</f>
        <v>3.7521600000000002E-2</v>
      </c>
      <c r="I41" s="17">
        <v>-1</v>
      </c>
      <c r="J41" s="17">
        <v>-1</v>
      </c>
      <c r="K41" s="17">
        <v>-1</v>
      </c>
      <c r="L41" s="17">
        <v>-1</v>
      </c>
      <c r="M41" s="17">
        <v>-1</v>
      </c>
      <c r="N41" s="17">
        <v>-1</v>
      </c>
      <c r="O41" s="17">
        <v>-1</v>
      </c>
      <c r="P41" s="17">
        <v>-1</v>
      </c>
      <c r="Q41" s="17">
        <v>-1</v>
      </c>
      <c r="R41" s="17">
        <f>X41*'PAG100 FE GE'!$E$2+Y41*'PAG100 FE GE'!$E$3+Z41*'PAG100 FE GE'!$E$4</f>
        <v>-301.89999999999998</v>
      </c>
      <c r="S41" s="17">
        <f>X41*'PAG20 FE GE'!$E$2+Y41*'PAG20 FE GE'!$E$3+Z41*'PAG20 FE GE'!$E$4</f>
        <v>-355.2</v>
      </c>
      <c r="T41" s="17">
        <f>X41*'PAG100 FE GE'!$D$2+Y41*'PAG100 FE GE'!$D$3+Z41*'PAG100 FE GE'!$D$4</f>
        <v>-294</v>
      </c>
      <c r="U41" s="17">
        <f>X41*'PAG20 FE GE'!$D$2+Y41*'PAG20 FE GE'!$D$3+Z41*'PAG20 FE GE'!$D$4</f>
        <v>-350</v>
      </c>
      <c r="V41" s="17">
        <f>X41*'PAG100 FE GE'!$C$2+Y41*'PAG100 FE GE'!$C$3+Z41*'PAG100 FE GE'!$C$4</f>
        <v>-324</v>
      </c>
      <c r="W41" s="17">
        <f>X41*'PAG20 FE GE'!$C$2+Y41*'PAG20 FE GE'!$C$3+Z41*'PAG20 FE GE'!$C$4</f>
        <v>-362</v>
      </c>
      <c r="X41" s="17">
        <v>-1</v>
      </c>
      <c r="Y41" s="17">
        <v>-1</v>
      </c>
      <c r="Z41" s="17">
        <v>-1</v>
      </c>
      <c r="AA41" s="17">
        <f>AG41*'PAG100 FE GE'!$E$2+AH41*'PAG100 FE GE'!$E$3+AI41*'PAG100 FE GE'!$E$4</f>
        <v>-301.89999999999998</v>
      </c>
      <c r="AB41" s="17">
        <f>AG41*'PAG20 FE GE'!$E$2+AH41*'PAG20 FE GE'!$E$3+AI41*'PAG20 FE GE'!$E$4</f>
        <v>-355.2</v>
      </c>
      <c r="AC41" s="17">
        <f>AG41*'PAG100 FE GE'!$D$2+AH41*'PAG100 FE GE'!$D$3+AI41*'PAG100 FE GE'!$D$4</f>
        <v>-294</v>
      </c>
      <c r="AD41" s="17">
        <f>AG41*'PAG20 FE GE'!$D$2+AH41*'PAG20 FE GE'!$D$3+AI41*'PAG20 FE GE'!$D$4</f>
        <v>-350</v>
      </c>
      <c r="AE41" s="17">
        <f>AG41*'PAG100 FE GE'!$C$2+AH41*'PAG100 FE GE'!$C$3+AI41*'PAG100 FE GE'!$C$4</f>
        <v>-324</v>
      </c>
      <c r="AF41" s="17">
        <f>AG41*'PAG20 FE GE'!$C$2+AH41*'PAG20 FE GE'!$C$3+AI41*'PAG20 FE GE'!$C$4</f>
        <v>-362</v>
      </c>
      <c r="AG41" s="17">
        <v>-1</v>
      </c>
      <c r="AH41" s="17">
        <v>-1</v>
      </c>
      <c r="AI41" s="17">
        <v>-1</v>
      </c>
      <c r="AJ41" s="17">
        <v>-1</v>
      </c>
      <c r="AK41" t="s">
        <v>424</v>
      </c>
      <c r="AL41" t="s">
        <v>790</v>
      </c>
    </row>
    <row r="42" spans="1:38" ht="15.75" thickBot="1" x14ac:dyDescent="0.3">
      <c r="A42" s="4" t="s">
        <v>2</v>
      </c>
      <c r="B42" s="7" t="s">
        <v>15</v>
      </c>
      <c r="C42" s="5" t="s">
        <v>95</v>
      </c>
      <c r="D42" s="6" t="s">
        <v>8</v>
      </c>
      <c r="E42" s="6" t="str">
        <f t="shared" si="1"/>
        <v>Pesado de Passageiros M3: II : GNL : E0</v>
      </c>
      <c r="F42" s="6" t="s">
        <v>57</v>
      </c>
      <c r="G42" s="6" t="s">
        <v>96</v>
      </c>
      <c r="H42" s="9">
        <f>IF(G42="MJ",INDEX(Tabela1[Energia (MJ/Qtd.)],MATCH(C42,Tabela1[Fuel],0)),IF(G42="GJ",INDEX(Tabela1[Energia (GJ/Qtd.)2],MATCH(C42,Tabela1[Fuel],0)),"XXX"))</f>
        <v>4.8000000000000001E-2</v>
      </c>
      <c r="I42" s="17">
        <v>-1</v>
      </c>
      <c r="J42" s="17">
        <v>-1</v>
      </c>
      <c r="K42" s="17">
        <v>-1</v>
      </c>
      <c r="L42" s="17">
        <v>-1</v>
      </c>
      <c r="M42" s="17">
        <v>-1</v>
      </c>
      <c r="N42" s="17">
        <v>-1</v>
      </c>
      <c r="O42" s="17">
        <v>-1</v>
      </c>
      <c r="P42" s="17">
        <v>-1</v>
      </c>
      <c r="Q42" s="17">
        <v>-1</v>
      </c>
      <c r="R42" s="17">
        <f>X42*'PAG100 FE GE'!$E$2+Y42*'PAG100 FE GE'!$E$3+Z42*'PAG100 FE GE'!$E$4</f>
        <v>-301.89999999999998</v>
      </c>
      <c r="S42" s="17">
        <f>X42*'PAG20 FE GE'!$E$2+Y42*'PAG20 FE GE'!$E$3+Z42*'PAG20 FE GE'!$E$4</f>
        <v>-355.2</v>
      </c>
      <c r="T42" s="17">
        <f>X42*'PAG100 FE GE'!$D$2+Y42*'PAG100 FE GE'!$D$3+Z42*'PAG100 FE GE'!$D$4</f>
        <v>-294</v>
      </c>
      <c r="U42" s="17">
        <f>X42*'PAG20 FE GE'!$D$2+Y42*'PAG20 FE GE'!$D$3+Z42*'PAG20 FE GE'!$D$4</f>
        <v>-350</v>
      </c>
      <c r="V42" s="17">
        <f>X42*'PAG100 FE GE'!$C$2+Y42*'PAG100 FE GE'!$C$3+Z42*'PAG100 FE GE'!$C$4</f>
        <v>-324</v>
      </c>
      <c r="W42" s="17">
        <f>X42*'PAG20 FE GE'!$C$2+Y42*'PAG20 FE GE'!$C$3+Z42*'PAG20 FE GE'!$C$4</f>
        <v>-362</v>
      </c>
      <c r="X42" s="17">
        <v>-1</v>
      </c>
      <c r="Y42" s="17">
        <v>-1</v>
      </c>
      <c r="Z42" s="17">
        <v>-1</v>
      </c>
      <c r="AA42" s="17">
        <f>AG42*'PAG100 FE GE'!$E$2+AH42*'PAG100 FE GE'!$E$3+AI42*'PAG100 FE GE'!$E$4</f>
        <v>-301.89999999999998</v>
      </c>
      <c r="AB42" s="17">
        <f>AG42*'PAG20 FE GE'!$E$2+AH42*'PAG20 FE GE'!$E$3+AI42*'PAG20 FE GE'!$E$4</f>
        <v>-355.2</v>
      </c>
      <c r="AC42" s="17">
        <f>AG42*'PAG100 FE GE'!$D$2+AH42*'PAG100 FE GE'!$D$3+AI42*'PAG100 FE GE'!$D$4</f>
        <v>-294</v>
      </c>
      <c r="AD42" s="17">
        <f>AG42*'PAG20 FE GE'!$D$2+AH42*'PAG20 FE GE'!$D$3+AI42*'PAG20 FE GE'!$D$4</f>
        <v>-350</v>
      </c>
      <c r="AE42" s="17">
        <f>AG42*'PAG100 FE GE'!$C$2+AH42*'PAG100 FE GE'!$C$3+AI42*'PAG100 FE GE'!$C$4</f>
        <v>-324</v>
      </c>
      <c r="AF42" s="17">
        <f>AG42*'PAG20 FE GE'!$C$2+AH42*'PAG20 FE GE'!$C$3+AI42*'PAG20 FE GE'!$C$4</f>
        <v>-362</v>
      </c>
      <c r="AG42" s="17">
        <v>-1</v>
      </c>
      <c r="AH42" s="17">
        <v>-1</v>
      </c>
      <c r="AI42" s="17">
        <v>-1</v>
      </c>
      <c r="AJ42" s="17">
        <v>-1</v>
      </c>
      <c r="AK42" t="s">
        <v>424</v>
      </c>
      <c r="AL42" t="s">
        <v>790</v>
      </c>
    </row>
    <row r="43" spans="1:38" ht="15.75" thickBot="1" x14ac:dyDescent="0.3">
      <c r="A43" s="4" t="s">
        <v>2</v>
      </c>
      <c r="B43" s="7" t="s">
        <v>15</v>
      </c>
      <c r="C43" s="5" t="s">
        <v>95</v>
      </c>
      <c r="D43" s="6" t="s">
        <v>7</v>
      </c>
      <c r="E43" s="6" t="str">
        <f t="shared" si="1"/>
        <v>Pesado de Passageiros M3: II : GNL : E1</v>
      </c>
      <c r="F43" s="6" t="s">
        <v>57</v>
      </c>
      <c r="G43" s="6" t="s">
        <v>96</v>
      </c>
      <c r="H43" s="9">
        <f>IF(G43="MJ",INDEX(Tabela1[Energia (MJ/Qtd.)],MATCH(C43,Tabela1[Fuel],0)),IF(G43="GJ",INDEX(Tabela1[Energia (GJ/Qtd.)2],MATCH(C43,Tabela1[Fuel],0)),"XXX"))</f>
        <v>4.8000000000000001E-2</v>
      </c>
      <c r="I43" s="17">
        <v>-1</v>
      </c>
      <c r="J43" s="17">
        <v>-1</v>
      </c>
      <c r="K43" s="17">
        <v>-1</v>
      </c>
      <c r="L43" s="17">
        <v>-1</v>
      </c>
      <c r="M43" s="17">
        <v>-1</v>
      </c>
      <c r="N43" s="17">
        <v>-1</v>
      </c>
      <c r="O43" s="17">
        <v>-1</v>
      </c>
      <c r="P43" s="17">
        <v>-1</v>
      </c>
      <c r="Q43" s="17">
        <v>-1</v>
      </c>
      <c r="R43" s="17">
        <f>X43*'PAG100 FE GE'!$E$2+Y43*'PAG100 FE GE'!$E$3+Z43*'PAG100 FE GE'!$E$4</f>
        <v>-301.89999999999998</v>
      </c>
      <c r="S43" s="17">
        <f>X43*'PAG20 FE GE'!$E$2+Y43*'PAG20 FE GE'!$E$3+Z43*'PAG20 FE GE'!$E$4</f>
        <v>-355.2</v>
      </c>
      <c r="T43" s="17">
        <f>X43*'PAG100 FE GE'!$D$2+Y43*'PAG100 FE GE'!$D$3+Z43*'PAG100 FE GE'!$D$4</f>
        <v>-294</v>
      </c>
      <c r="U43" s="17">
        <f>X43*'PAG20 FE GE'!$D$2+Y43*'PAG20 FE GE'!$D$3+Z43*'PAG20 FE GE'!$D$4</f>
        <v>-350</v>
      </c>
      <c r="V43" s="17">
        <f>X43*'PAG100 FE GE'!$C$2+Y43*'PAG100 FE GE'!$C$3+Z43*'PAG100 FE GE'!$C$4</f>
        <v>-324</v>
      </c>
      <c r="W43" s="17">
        <f>X43*'PAG20 FE GE'!$C$2+Y43*'PAG20 FE GE'!$C$3+Z43*'PAG20 FE GE'!$C$4</f>
        <v>-362</v>
      </c>
      <c r="X43" s="17">
        <v>-1</v>
      </c>
      <c r="Y43" s="17">
        <v>-1</v>
      </c>
      <c r="Z43" s="17">
        <v>-1</v>
      </c>
      <c r="AA43" s="17">
        <f>AG43*'PAG100 FE GE'!$E$2+AH43*'PAG100 FE GE'!$E$3+AI43*'PAG100 FE GE'!$E$4</f>
        <v>-301.89999999999998</v>
      </c>
      <c r="AB43" s="17">
        <f>AG43*'PAG20 FE GE'!$E$2+AH43*'PAG20 FE GE'!$E$3+AI43*'PAG20 FE GE'!$E$4</f>
        <v>-355.2</v>
      </c>
      <c r="AC43" s="17">
        <f>AG43*'PAG100 FE GE'!$D$2+AH43*'PAG100 FE GE'!$D$3+AI43*'PAG100 FE GE'!$D$4</f>
        <v>-294</v>
      </c>
      <c r="AD43" s="17">
        <f>AG43*'PAG20 FE GE'!$D$2+AH43*'PAG20 FE GE'!$D$3+AI43*'PAG20 FE GE'!$D$4</f>
        <v>-350</v>
      </c>
      <c r="AE43" s="17">
        <f>AG43*'PAG100 FE GE'!$C$2+AH43*'PAG100 FE GE'!$C$3+AI43*'PAG100 FE GE'!$C$4</f>
        <v>-324</v>
      </c>
      <c r="AF43" s="17">
        <f>AG43*'PAG20 FE GE'!$C$2+AH43*'PAG20 FE GE'!$C$3+AI43*'PAG20 FE GE'!$C$4</f>
        <v>-362</v>
      </c>
      <c r="AG43" s="17">
        <v>-1</v>
      </c>
      <c r="AH43" s="17">
        <v>-1</v>
      </c>
      <c r="AI43" s="17">
        <v>-1</v>
      </c>
      <c r="AJ43" s="17">
        <v>-1</v>
      </c>
      <c r="AK43" t="s">
        <v>424</v>
      </c>
      <c r="AL43" t="s">
        <v>790</v>
      </c>
    </row>
    <row r="44" spans="1:38" ht="15.75" thickBot="1" x14ac:dyDescent="0.3">
      <c r="A44" s="4" t="s">
        <v>2</v>
      </c>
      <c r="B44" s="7" t="s">
        <v>15</v>
      </c>
      <c r="C44" s="5" t="s">
        <v>95</v>
      </c>
      <c r="D44" s="6" t="s">
        <v>9</v>
      </c>
      <c r="E44" s="6" t="str">
        <f t="shared" si="1"/>
        <v>Pesado de Passageiros M3: II : GNL : E2</v>
      </c>
      <c r="F44" s="6" t="s">
        <v>57</v>
      </c>
      <c r="G44" s="6" t="s">
        <v>96</v>
      </c>
      <c r="H44" s="9">
        <f>IF(G44="MJ",INDEX(Tabela1[Energia (MJ/Qtd.)],MATCH(C44,Tabela1[Fuel],0)),IF(G44="GJ",INDEX(Tabela1[Energia (GJ/Qtd.)2],MATCH(C44,Tabela1[Fuel],0)),"XXX"))</f>
        <v>4.8000000000000001E-2</v>
      </c>
      <c r="I44" s="17">
        <v>-1</v>
      </c>
      <c r="J44" s="17">
        <v>-1</v>
      </c>
      <c r="K44" s="17">
        <v>-1</v>
      </c>
      <c r="L44" s="17">
        <v>-1</v>
      </c>
      <c r="M44" s="17">
        <v>-1</v>
      </c>
      <c r="N44" s="17">
        <v>-1</v>
      </c>
      <c r="O44" s="17">
        <v>-1</v>
      </c>
      <c r="P44" s="17">
        <v>-1</v>
      </c>
      <c r="Q44" s="17">
        <v>-1</v>
      </c>
      <c r="R44" s="17">
        <f>X44*'PAG100 FE GE'!$E$2+Y44*'PAG100 FE GE'!$E$3+Z44*'PAG100 FE GE'!$E$4</f>
        <v>-301.89999999999998</v>
      </c>
      <c r="S44" s="17">
        <f>X44*'PAG20 FE GE'!$E$2+Y44*'PAG20 FE GE'!$E$3+Z44*'PAG20 FE GE'!$E$4</f>
        <v>-355.2</v>
      </c>
      <c r="T44" s="17">
        <f>X44*'PAG100 FE GE'!$D$2+Y44*'PAG100 FE GE'!$D$3+Z44*'PAG100 FE GE'!$D$4</f>
        <v>-294</v>
      </c>
      <c r="U44" s="17">
        <f>X44*'PAG20 FE GE'!$D$2+Y44*'PAG20 FE GE'!$D$3+Z44*'PAG20 FE GE'!$D$4</f>
        <v>-350</v>
      </c>
      <c r="V44" s="17">
        <f>X44*'PAG100 FE GE'!$C$2+Y44*'PAG100 FE GE'!$C$3+Z44*'PAG100 FE GE'!$C$4</f>
        <v>-324</v>
      </c>
      <c r="W44" s="17">
        <f>X44*'PAG20 FE GE'!$C$2+Y44*'PAG20 FE GE'!$C$3+Z44*'PAG20 FE GE'!$C$4</f>
        <v>-362</v>
      </c>
      <c r="X44" s="17">
        <v>-1</v>
      </c>
      <c r="Y44" s="17">
        <v>-1</v>
      </c>
      <c r="Z44" s="17">
        <v>-1</v>
      </c>
      <c r="AA44" s="17">
        <f>AG44*'PAG100 FE GE'!$E$2+AH44*'PAG100 FE GE'!$E$3+AI44*'PAG100 FE GE'!$E$4</f>
        <v>-301.89999999999998</v>
      </c>
      <c r="AB44" s="17">
        <f>AG44*'PAG20 FE GE'!$E$2+AH44*'PAG20 FE GE'!$E$3+AI44*'PAG20 FE GE'!$E$4</f>
        <v>-355.2</v>
      </c>
      <c r="AC44" s="17">
        <f>AG44*'PAG100 FE GE'!$D$2+AH44*'PAG100 FE GE'!$D$3+AI44*'PAG100 FE GE'!$D$4</f>
        <v>-294</v>
      </c>
      <c r="AD44" s="17">
        <f>AG44*'PAG20 FE GE'!$D$2+AH44*'PAG20 FE GE'!$D$3+AI44*'PAG20 FE GE'!$D$4</f>
        <v>-350</v>
      </c>
      <c r="AE44" s="17">
        <f>AG44*'PAG100 FE GE'!$C$2+AH44*'PAG100 FE GE'!$C$3+AI44*'PAG100 FE GE'!$C$4</f>
        <v>-324</v>
      </c>
      <c r="AF44" s="17">
        <f>AG44*'PAG20 FE GE'!$C$2+AH44*'PAG20 FE GE'!$C$3+AI44*'PAG20 FE GE'!$C$4</f>
        <v>-362</v>
      </c>
      <c r="AG44" s="17">
        <v>-1</v>
      </c>
      <c r="AH44" s="17">
        <v>-1</v>
      </c>
      <c r="AI44" s="17">
        <v>-1</v>
      </c>
      <c r="AJ44" s="17">
        <v>-1</v>
      </c>
      <c r="AK44" t="s">
        <v>424</v>
      </c>
      <c r="AL44" t="s">
        <v>790</v>
      </c>
    </row>
    <row r="45" spans="1:38" ht="15.75" thickBot="1" x14ac:dyDescent="0.3">
      <c r="A45" s="4" t="s">
        <v>2</v>
      </c>
      <c r="B45" s="7" t="s">
        <v>15</v>
      </c>
      <c r="C45" s="5" t="s">
        <v>95</v>
      </c>
      <c r="D45" s="6" t="s">
        <v>10</v>
      </c>
      <c r="E45" s="6" t="str">
        <f t="shared" si="1"/>
        <v>Pesado de Passageiros M3: II : GNL : E3</v>
      </c>
      <c r="F45" s="6" t="s">
        <v>57</v>
      </c>
      <c r="G45" s="6" t="s">
        <v>96</v>
      </c>
      <c r="H45" s="9">
        <f>IF(G45="MJ",INDEX(Tabela1[Energia (MJ/Qtd.)],MATCH(C45,Tabela1[Fuel],0)),IF(G45="GJ",INDEX(Tabela1[Energia (GJ/Qtd.)2],MATCH(C45,Tabela1[Fuel],0)),"XXX"))</f>
        <v>4.8000000000000001E-2</v>
      </c>
      <c r="I45" s="17">
        <v>-1</v>
      </c>
      <c r="J45" s="17">
        <v>-1</v>
      </c>
      <c r="K45" s="17">
        <v>-1</v>
      </c>
      <c r="L45" s="17">
        <v>-1</v>
      </c>
      <c r="M45" s="17">
        <v>-1</v>
      </c>
      <c r="N45" s="17">
        <v>-1</v>
      </c>
      <c r="O45" s="17">
        <v>-1</v>
      </c>
      <c r="P45" s="17">
        <v>-1</v>
      </c>
      <c r="Q45" s="17">
        <v>-1</v>
      </c>
      <c r="R45" s="17">
        <f>X45*'PAG100 FE GE'!$E$2+Y45*'PAG100 FE GE'!$E$3+Z45*'PAG100 FE GE'!$E$4</f>
        <v>-301.89999999999998</v>
      </c>
      <c r="S45" s="17">
        <f>X45*'PAG20 FE GE'!$E$2+Y45*'PAG20 FE GE'!$E$3+Z45*'PAG20 FE GE'!$E$4</f>
        <v>-355.2</v>
      </c>
      <c r="T45" s="17">
        <f>X45*'PAG100 FE GE'!$D$2+Y45*'PAG100 FE GE'!$D$3+Z45*'PAG100 FE GE'!$D$4</f>
        <v>-294</v>
      </c>
      <c r="U45" s="17">
        <f>X45*'PAG20 FE GE'!$D$2+Y45*'PAG20 FE GE'!$D$3+Z45*'PAG20 FE GE'!$D$4</f>
        <v>-350</v>
      </c>
      <c r="V45" s="17">
        <f>X45*'PAG100 FE GE'!$C$2+Y45*'PAG100 FE GE'!$C$3+Z45*'PAG100 FE GE'!$C$4</f>
        <v>-324</v>
      </c>
      <c r="W45" s="17">
        <f>X45*'PAG20 FE GE'!$C$2+Y45*'PAG20 FE GE'!$C$3+Z45*'PAG20 FE GE'!$C$4</f>
        <v>-362</v>
      </c>
      <c r="X45" s="17">
        <v>-1</v>
      </c>
      <c r="Y45" s="17">
        <v>-1</v>
      </c>
      <c r="Z45" s="17">
        <v>-1</v>
      </c>
      <c r="AA45" s="17">
        <f>AG45*'PAG100 FE GE'!$E$2+AH45*'PAG100 FE GE'!$E$3+AI45*'PAG100 FE GE'!$E$4</f>
        <v>-301.89999999999998</v>
      </c>
      <c r="AB45" s="17">
        <f>AG45*'PAG20 FE GE'!$E$2+AH45*'PAG20 FE GE'!$E$3+AI45*'PAG20 FE GE'!$E$4</f>
        <v>-355.2</v>
      </c>
      <c r="AC45" s="17">
        <f>AG45*'PAG100 FE GE'!$D$2+AH45*'PAG100 FE GE'!$D$3+AI45*'PAG100 FE GE'!$D$4</f>
        <v>-294</v>
      </c>
      <c r="AD45" s="17">
        <f>AG45*'PAG20 FE GE'!$D$2+AH45*'PAG20 FE GE'!$D$3+AI45*'PAG20 FE GE'!$D$4</f>
        <v>-350</v>
      </c>
      <c r="AE45" s="17">
        <f>AG45*'PAG100 FE GE'!$C$2+AH45*'PAG100 FE GE'!$C$3+AI45*'PAG100 FE GE'!$C$4</f>
        <v>-324</v>
      </c>
      <c r="AF45" s="17">
        <f>AG45*'PAG20 FE GE'!$C$2+AH45*'PAG20 FE GE'!$C$3+AI45*'PAG20 FE GE'!$C$4</f>
        <v>-362</v>
      </c>
      <c r="AG45" s="17">
        <v>-1</v>
      </c>
      <c r="AH45" s="17">
        <v>-1</v>
      </c>
      <c r="AI45" s="17">
        <v>-1</v>
      </c>
      <c r="AJ45" s="17">
        <v>-1</v>
      </c>
      <c r="AK45" t="s">
        <v>424</v>
      </c>
      <c r="AL45" t="s">
        <v>790</v>
      </c>
    </row>
    <row r="46" spans="1:38" ht="15.75" thickBot="1" x14ac:dyDescent="0.3">
      <c r="A46" s="4" t="s">
        <v>2</v>
      </c>
      <c r="B46" s="7" t="s">
        <v>15</v>
      </c>
      <c r="C46" s="5" t="s">
        <v>95</v>
      </c>
      <c r="D46" s="6" t="s">
        <v>4</v>
      </c>
      <c r="E46" s="6" t="str">
        <f t="shared" si="1"/>
        <v>Pesado de Passageiros M3: II : GNL : E4</v>
      </c>
      <c r="F46" s="6" t="s">
        <v>57</v>
      </c>
      <c r="G46" s="6" t="s">
        <v>96</v>
      </c>
      <c r="H46" s="9">
        <f>IF(G46="MJ",INDEX(Tabela1[Energia (MJ/Qtd.)],MATCH(C46,Tabela1[Fuel],0)),IF(G46="GJ",INDEX(Tabela1[Energia (GJ/Qtd.)2],MATCH(C46,Tabela1[Fuel],0)),"XXX"))</f>
        <v>4.8000000000000001E-2</v>
      </c>
      <c r="I46" s="17">
        <v>-1</v>
      </c>
      <c r="J46" s="17">
        <v>-1</v>
      </c>
      <c r="K46" s="17">
        <v>-1</v>
      </c>
      <c r="L46" s="17">
        <v>-1</v>
      </c>
      <c r="M46" s="17">
        <v>-1</v>
      </c>
      <c r="N46" s="17">
        <v>-1</v>
      </c>
      <c r="O46" s="17">
        <v>-1</v>
      </c>
      <c r="P46" s="17">
        <v>-1</v>
      </c>
      <c r="Q46" s="17">
        <v>-1</v>
      </c>
      <c r="R46" s="17">
        <f>X46*'PAG100 FE GE'!$E$2+Y46*'PAG100 FE GE'!$E$3+Z46*'PAG100 FE GE'!$E$4</f>
        <v>-301.89999999999998</v>
      </c>
      <c r="S46" s="17">
        <f>X46*'PAG20 FE GE'!$E$2+Y46*'PAG20 FE GE'!$E$3+Z46*'PAG20 FE GE'!$E$4</f>
        <v>-355.2</v>
      </c>
      <c r="T46" s="17">
        <f>X46*'PAG100 FE GE'!$D$2+Y46*'PAG100 FE GE'!$D$3+Z46*'PAG100 FE GE'!$D$4</f>
        <v>-294</v>
      </c>
      <c r="U46" s="17">
        <f>X46*'PAG20 FE GE'!$D$2+Y46*'PAG20 FE GE'!$D$3+Z46*'PAG20 FE GE'!$D$4</f>
        <v>-350</v>
      </c>
      <c r="V46" s="17">
        <f>X46*'PAG100 FE GE'!$C$2+Y46*'PAG100 FE GE'!$C$3+Z46*'PAG100 FE GE'!$C$4</f>
        <v>-324</v>
      </c>
      <c r="W46" s="17">
        <f>X46*'PAG20 FE GE'!$C$2+Y46*'PAG20 FE GE'!$C$3+Z46*'PAG20 FE GE'!$C$4</f>
        <v>-362</v>
      </c>
      <c r="X46" s="17">
        <v>-1</v>
      </c>
      <c r="Y46" s="17">
        <v>-1</v>
      </c>
      <c r="Z46" s="17">
        <v>-1</v>
      </c>
      <c r="AA46" s="17">
        <f>AG46*'PAG100 FE GE'!$E$2+AH46*'PAG100 FE GE'!$E$3+AI46*'PAG100 FE GE'!$E$4</f>
        <v>-301.89999999999998</v>
      </c>
      <c r="AB46" s="17">
        <f>AG46*'PAG20 FE GE'!$E$2+AH46*'PAG20 FE GE'!$E$3+AI46*'PAG20 FE GE'!$E$4</f>
        <v>-355.2</v>
      </c>
      <c r="AC46" s="17">
        <f>AG46*'PAG100 FE GE'!$D$2+AH46*'PAG100 FE GE'!$D$3+AI46*'PAG100 FE GE'!$D$4</f>
        <v>-294</v>
      </c>
      <c r="AD46" s="17">
        <f>AG46*'PAG20 FE GE'!$D$2+AH46*'PAG20 FE GE'!$D$3+AI46*'PAG20 FE GE'!$D$4</f>
        <v>-350</v>
      </c>
      <c r="AE46" s="17">
        <f>AG46*'PAG100 FE GE'!$C$2+AH46*'PAG100 FE GE'!$C$3+AI46*'PAG100 FE GE'!$C$4</f>
        <v>-324</v>
      </c>
      <c r="AF46" s="17">
        <f>AG46*'PAG20 FE GE'!$C$2+AH46*'PAG20 FE GE'!$C$3+AI46*'PAG20 FE GE'!$C$4</f>
        <v>-362</v>
      </c>
      <c r="AG46" s="17">
        <v>-1</v>
      </c>
      <c r="AH46" s="17">
        <v>-1</v>
      </c>
      <c r="AI46" s="17">
        <v>-1</v>
      </c>
      <c r="AJ46" s="17">
        <v>-1</v>
      </c>
      <c r="AK46" t="s">
        <v>424</v>
      </c>
      <c r="AL46" t="s">
        <v>790</v>
      </c>
    </row>
    <row r="47" spans="1:38" ht="15.75" thickBot="1" x14ac:dyDescent="0.3">
      <c r="A47" s="4" t="s">
        <v>2</v>
      </c>
      <c r="B47" s="7" t="s">
        <v>15</v>
      </c>
      <c r="C47" s="5" t="s">
        <v>95</v>
      </c>
      <c r="D47" s="6" t="s">
        <v>5</v>
      </c>
      <c r="E47" s="6" t="str">
        <f t="shared" si="1"/>
        <v>Pesado de Passageiros M3: II : GNL : E5</v>
      </c>
      <c r="F47" s="6" t="s">
        <v>57</v>
      </c>
      <c r="G47" s="6" t="s">
        <v>96</v>
      </c>
      <c r="H47" s="9">
        <f>IF(G47="MJ",INDEX(Tabela1[Energia (MJ/Qtd.)],MATCH(C47,Tabela1[Fuel],0)),IF(G47="GJ",INDEX(Tabela1[Energia (GJ/Qtd.)2],MATCH(C47,Tabela1[Fuel],0)),"XXX"))</f>
        <v>4.8000000000000001E-2</v>
      </c>
      <c r="I47" s="17">
        <v>-1</v>
      </c>
      <c r="J47" s="17">
        <v>-1</v>
      </c>
      <c r="K47" s="17">
        <v>-1</v>
      </c>
      <c r="L47" s="17">
        <v>-1</v>
      </c>
      <c r="M47" s="17">
        <v>-1</v>
      </c>
      <c r="N47" s="17">
        <v>-1</v>
      </c>
      <c r="O47" s="17">
        <v>-1</v>
      </c>
      <c r="P47" s="17">
        <v>-1</v>
      </c>
      <c r="Q47" s="17">
        <v>-1</v>
      </c>
      <c r="R47" s="17">
        <f>X47*'PAG100 FE GE'!$E$2+Y47*'PAG100 FE GE'!$E$3+Z47*'PAG100 FE GE'!$E$4</f>
        <v>-301.89999999999998</v>
      </c>
      <c r="S47" s="17">
        <f>X47*'PAG20 FE GE'!$E$2+Y47*'PAG20 FE GE'!$E$3+Z47*'PAG20 FE GE'!$E$4</f>
        <v>-355.2</v>
      </c>
      <c r="T47" s="17">
        <f>X47*'PAG100 FE GE'!$D$2+Y47*'PAG100 FE GE'!$D$3+Z47*'PAG100 FE GE'!$D$4</f>
        <v>-294</v>
      </c>
      <c r="U47" s="17">
        <f>X47*'PAG20 FE GE'!$D$2+Y47*'PAG20 FE GE'!$D$3+Z47*'PAG20 FE GE'!$D$4</f>
        <v>-350</v>
      </c>
      <c r="V47" s="17">
        <f>X47*'PAG100 FE GE'!$C$2+Y47*'PAG100 FE GE'!$C$3+Z47*'PAG100 FE GE'!$C$4</f>
        <v>-324</v>
      </c>
      <c r="W47" s="17">
        <f>X47*'PAG20 FE GE'!$C$2+Y47*'PAG20 FE GE'!$C$3+Z47*'PAG20 FE GE'!$C$4</f>
        <v>-362</v>
      </c>
      <c r="X47" s="17">
        <v>-1</v>
      </c>
      <c r="Y47" s="17">
        <v>-1</v>
      </c>
      <c r="Z47" s="17">
        <v>-1</v>
      </c>
      <c r="AA47" s="17">
        <f>AG47*'PAG100 FE GE'!$E$2+AH47*'PAG100 FE GE'!$E$3+AI47*'PAG100 FE GE'!$E$4</f>
        <v>-301.89999999999998</v>
      </c>
      <c r="AB47" s="17">
        <f>AG47*'PAG20 FE GE'!$E$2+AH47*'PAG20 FE GE'!$E$3+AI47*'PAG20 FE GE'!$E$4</f>
        <v>-355.2</v>
      </c>
      <c r="AC47" s="17">
        <f>AG47*'PAG100 FE GE'!$D$2+AH47*'PAG100 FE GE'!$D$3+AI47*'PAG100 FE GE'!$D$4</f>
        <v>-294</v>
      </c>
      <c r="AD47" s="17">
        <f>AG47*'PAG20 FE GE'!$D$2+AH47*'PAG20 FE GE'!$D$3+AI47*'PAG20 FE GE'!$D$4</f>
        <v>-350</v>
      </c>
      <c r="AE47" s="17">
        <f>AG47*'PAG100 FE GE'!$C$2+AH47*'PAG100 FE GE'!$C$3+AI47*'PAG100 FE GE'!$C$4</f>
        <v>-324</v>
      </c>
      <c r="AF47" s="17">
        <f>AG47*'PAG20 FE GE'!$C$2+AH47*'PAG20 FE GE'!$C$3+AI47*'PAG20 FE GE'!$C$4</f>
        <v>-362</v>
      </c>
      <c r="AG47" s="17">
        <v>-1</v>
      </c>
      <c r="AH47" s="17">
        <v>-1</v>
      </c>
      <c r="AI47" s="17">
        <v>-1</v>
      </c>
      <c r="AJ47" s="17">
        <v>-1</v>
      </c>
      <c r="AK47" t="s">
        <v>424</v>
      </c>
      <c r="AL47" t="s">
        <v>790</v>
      </c>
    </row>
    <row r="48" spans="1:38" ht="15.75" thickBot="1" x14ac:dyDescent="0.3">
      <c r="A48" s="4" t="s">
        <v>2</v>
      </c>
      <c r="B48" s="7" t="s">
        <v>15</v>
      </c>
      <c r="C48" s="5" t="s">
        <v>95</v>
      </c>
      <c r="D48" s="6" t="s">
        <v>6</v>
      </c>
      <c r="E48" s="6" t="str">
        <f t="shared" si="1"/>
        <v>Pesado de Passageiros M3: II : GNL : E6</v>
      </c>
      <c r="F48" s="6" t="s">
        <v>57</v>
      </c>
      <c r="G48" s="6" t="s">
        <v>96</v>
      </c>
      <c r="H48" s="9">
        <f>IF(G48="MJ",INDEX(Tabela1[Energia (MJ/Qtd.)],MATCH(C48,Tabela1[Fuel],0)),IF(G48="GJ",INDEX(Tabela1[Energia (GJ/Qtd.)2],MATCH(C48,Tabela1[Fuel],0)),"XXX"))</f>
        <v>4.8000000000000001E-2</v>
      </c>
      <c r="I48" s="17">
        <v>-1</v>
      </c>
      <c r="J48" s="17">
        <v>-1</v>
      </c>
      <c r="K48" s="17">
        <v>-1</v>
      </c>
      <c r="L48" s="17">
        <v>-1</v>
      </c>
      <c r="M48" s="17">
        <v>-1</v>
      </c>
      <c r="N48" s="17">
        <v>-1</v>
      </c>
      <c r="O48" s="17">
        <v>-1</v>
      </c>
      <c r="P48" s="17">
        <v>-1</v>
      </c>
      <c r="Q48" s="17">
        <v>-1</v>
      </c>
      <c r="R48" s="17">
        <f>X48*'PAG100 FE GE'!$E$2+Y48*'PAG100 FE GE'!$E$3+Z48*'PAG100 FE GE'!$E$4</f>
        <v>-301.89999999999998</v>
      </c>
      <c r="S48" s="17">
        <f>X48*'PAG20 FE GE'!$E$2+Y48*'PAG20 FE GE'!$E$3+Z48*'PAG20 FE GE'!$E$4</f>
        <v>-355.2</v>
      </c>
      <c r="T48" s="17">
        <f>X48*'PAG100 FE GE'!$D$2+Y48*'PAG100 FE GE'!$D$3+Z48*'PAG100 FE GE'!$D$4</f>
        <v>-294</v>
      </c>
      <c r="U48" s="17">
        <f>X48*'PAG20 FE GE'!$D$2+Y48*'PAG20 FE GE'!$D$3+Z48*'PAG20 FE GE'!$D$4</f>
        <v>-350</v>
      </c>
      <c r="V48" s="17">
        <f>X48*'PAG100 FE GE'!$C$2+Y48*'PAG100 FE GE'!$C$3+Z48*'PAG100 FE GE'!$C$4</f>
        <v>-324</v>
      </c>
      <c r="W48" s="17">
        <f>X48*'PAG20 FE GE'!$C$2+Y48*'PAG20 FE GE'!$C$3+Z48*'PAG20 FE GE'!$C$4</f>
        <v>-362</v>
      </c>
      <c r="X48" s="17">
        <v>-1</v>
      </c>
      <c r="Y48" s="17">
        <v>-1</v>
      </c>
      <c r="Z48" s="17">
        <v>-1</v>
      </c>
      <c r="AA48" s="17">
        <f>AG48*'PAG100 FE GE'!$E$2+AH48*'PAG100 FE GE'!$E$3+AI48*'PAG100 FE GE'!$E$4</f>
        <v>-301.89999999999998</v>
      </c>
      <c r="AB48" s="17">
        <f>AG48*'PAG20 FE GE'!$E$2+AH48*'PAG20 FE GE'!$E$3+AI48*'PAG20 FE GE'!$E$4</f>
        <v>-355.2</v>
      </c>
      <c r="AC48" s="17">
        <f>AG48*'PAG100 FE GE'!$D$2+AH48*'PAG100 FE GE'!$D$3+AI48*'PAG100 FE GE'!$D$4</f>
        <v>-294</v>
      </c>
      <c r="AD48" s="17">
        <f>AG48*'PAG20 FE GE'!$D$2+AH48*'PAG20 FE GE'!$D$3+AI48*'PAG20 FE GE'!$D$4</f>
        <v>-350</v>
      </c>
      <c r="AE48" s="17">
        <f>AG48*'PAG100 FE GE'!$C$2+AH48*'PAG100 FE GE'!$C$3+AI48*'PAG100 FE GE'!$C$4</f>
        <v>-324</v>
      </c>
      <c r="AF48" s="17">
        <f>AG48*'PAG20 FE GE'!$C$2+AH48*'PAG20 FE GE'!$C$3+AI48*'PAG20 FE GE'!$C$4</f>
        <v>-362</v>
      </c>
      <c r="AG48" s="17">
        <v>-1</v>
      </c>
      <c r="AH48" s="17">
        <v>-1</v>
      </c>
      <c r="AI48" s="17">
        <v>-1</v>
      </c>
      <c r="AJ48" s="17">
        <v>-1</v>
      </c>
      <c r="AK48" t="s">
        <v>424</v>
      </c>
      <c r="AL48" t="s">
        <v>790</v>
      </c>
    </row>
    <row r="49" spans="1:38" ht="15.75" thickBot="1" x14ac:dyDescent="0.3">
      <c r="A49" s="4" t="s">
        <v>2</v>
      </c>
      <c r="B49" s="7" t="s">
        <v>15</v>
      </c>
      <c r="C49" s="5" t="s">
        <v>95</v>
      </c>
      <c r="D49" s="6" t="s">
        <v>81</v>
      </c>
      <c r="E49" s="6" t="str">
        <f t="shared" si="1"/>
        <v>Pesado de Passageiros M3: II : GNL : E6 D/E E7</v>
      </c>
      <c r="F49" s="6" t="s">
        <v>57</v>
      </c>
      <c r="G49" s="6" t="s">
        <v>96</v>
      </c>
      <c r="H49" s="9">
        <f>IF(G49="MJ",INDEX(Tabela1[Energia (MJ/Qtd.)],MATCH(C49,Tabela1[Fuel],0)),IF(G49="GJ",INDEX(Tabela1[Energia (GJ/Qtd.)2],MATCH(C49,Tabela1[Fuel],0)),"XXX"))</f>
        <v>4.8000000000000001E-2</v>
      </c>
      <c r="I49" s="17">
        <v>-1</v>
      </c>
      <c r="J49" s="17">
        <v>-1</v>
      </c>
      <c r="K49" s="17">
        <v>-1</v>
      </c>
      <c r="L49" s="17">
        <v>-1</v>
      </c>
      <c r="M49" s="17">
        <v>-1</v>
      </c>
      <c r="N49" s="17">
        <v>-1</v>
      </c>
      <c r="O49" s="17">
        <v>-1</v>
      </c>
      <c r="P49" s="17">
        <v>-1</v>
      </c>
      <c r="Q49" s="17">
        <v>-1</v>
      </c>
      <c r="R49" s="17">
        <f>X49*'PAG100 FE GE'!$E$2+Y49*'PAG100 FE GE'!$E$3+Z49*'PAG100 FE GE'!$E$4</f>
        <v>-301.89999999999998</v>
      </c>
      <c r="S49" s="17">
        <f>X49*'PAG20 FE GE'!$E$2+Y49*'PAG20 FE GE'!$E$3+Z49*'PAG20 FE GE'!$E$4</f>
        <v>-355.2</v>
      </c>
      <c r="T49" s="17">
        <f>X49*'PAG100 FE GE'!$D$2+Y49*'PAG100 FE GE'!$D$3+Z49*'PAG100 FE GE'!$D$4</f>
        <v>-294</v>
      </c>
      <c r="U49" s="17">
        <f>X49*'PAG20 FE GE'!$D$2+Y49*'PAG20 FE GE'!$D$3+Z49*'PAG20 FE GE'!$D$4</f>
        <v>-350</v>
      </c>
      <c r="V49" s="17">
        <f>X49*'PAG100 FE GE'!$C$2+Y49*'PAG100 FE GE'!$C$3+Z49*'PAG100 FE GE'!$C$4</f>
        <v>-324</v>
      </c>
      <c r="W49" s="17">
        <f>X49*'PAG20 FE GE'!$C$2+Y49*'PAG20 FE GE'!$C$3+Z49*'PAG20 FE GE'!$C$4</f>
        <v>-362</v>
      </c>
      <c r="X49" s="17">
        <v>-1</v>
      </c>
      <c r="Y49" s="17">
        <v>-1</v>
      </c>
      <c r="Z49" s="17">
        <v>-1</v>
      </c>
      <c r="AA49" s="17">
        <f>AG49*'PAG100 FE GE'!$E$2+AH49*'PAG100 FE GE'!$E$3+AI49*'PAG100 FE GE'!$E$4</f>
        <v>-301.89999999999998</v>
      </c>
      <c r="AB49" s="17">
        <f>AG49*'PAG20 FE GE'!$E$2+AH49*'PAG20 FE GE'!$E$3+AI49*'PAG20 FE GE'!$E$4</f>
        <v>-355.2</v>
      </c>
      <c r="AC49" s="17">
        <f>AG49*'PAG100 FE GE'!$D$2+AH49*'PAG100 FE GE'!$D$3+AI49*'PAG100 FE GE'!$D$4</f>
        <v>-294</v>
      </c>
      <c r="AD49" s="17">
        <f>AG49*'PAG20 FE GE'!$D$2+AH49*'PAG20 FE GE'!$D$3+AI49*'PAG20 FE GE'!$D$4</f>
        <v>-350</v>
      </c>
      <c r="AE49" s="17">
        <f>AG49*'PAG100 FE GE'!$C$2+AH49*'PAG100 FE GE'!$C$3+AI49*'PAG100 FE GE'!$C$4</f>
        <v>-324</v>
      </c>
      <c r="AF49" s="17">
        <f>AG49*'PAG20 FE GE'!$C$2+AH49*'PAG20 FE GE'!$C$3+AI49*'PAG20 FE GE'!$C$4</f>
        <v>-362</v>
      </c>
      <c r="AG49" s="17">
        <v>-1</v>
      </c>
      <c r="AH49" s="17">
        <v>-1</v>
      </c>
      <c r="AI49" s="17">
        <v>-1</v>
      </c>
      <c r="AJ49" s="17">
        <v>-1</v>
      </c>
      <c r="AK49" t="s">
        <v>424</v>
      </c>
      <c r="AL49" t="s">
        <v>790</v>
      </c>
    </row>
    <row r="50" spans="1:38" ht="15.75" thickBot="1" x14ac:dyDescent="0.3">
      <c r="A50" s="4" t="s">
        <v>2</v>
      </c>
      <c r="B50" s="7" t="s">
        <v>14</v>
      </c>
      <c r="C50" s="5" t="s">
        <v>3</v>
      </c>
      <c r="D50" s="6" t="s">
        <v>8</v>
      </c>
      <c r="E50" s="6" t="str">
        <f t="shared" si="1"/>
        <v>Pesado de Passageiros M3: III : Gasóleo : E0</v>
      </c>
      <c r="F50" s="6" t="s">
        <v>55</v>
      </c>
      <c r="G50" s="6" t="s">
        <v>96</v>
      </c>
      <c r="H50" s="9">
        <f>IF(G50="MJ",INDEX(Tabela1[Energia (MJ/Qtd.)],MATCH(C50,Tabela1[Fuel],0)),IF(G50="GJ",INDEX(Tabela1[Energia (GJ/Qtd.)2],MATCH(C50,Tabela1[Fuel],0)),"XXX"))</f>
        <v>3.5868000000000004E-2</v>
      </c>
      <c r="I50" s="9">
        <f>O50*'PAG100 FE GE'!$E$2+P50*'PAG100 FE GE'!$E$3+Q50*'PAG100 FE GE'!$E$4</f>
        <v>70109.23</v>
      </c>
      <c r="J50" s="9">
        <f>O50*'PAG20 FE GE'!$E$2+P50*'PAG20 FE GE'!$E$3+Q50*'PAG20 FE GE'!$E$4</f>
        <v>70514.31</v>
      </c>
      <c r="K50" s="9">
        <f>O50*'PAG100 FE GE'!$D$2+P50*'PAG100 FE GE'!$D$3+Q50*'PAG100 FE GE'!$D$4</f>
        <v>70085.75</v>
      </c>
      <c r="L50" s="9">
        <f>O50*'PAG20 FE GE'!$D$2+P50*'PAG20 FE GE'!$D$3+Q50*'PAG20 FE GE'!$D$4</f>
        <v>70515.92</v>
      </c>
      <c r="M50" s="9">
        <f>O50*'PAG100 FE GE'!$C$2+P50*'PAG100 FE GE'!$C$3+Q50*'PAG100 FE GE'!$C$4</f>
        <v>70162.94</v>
      </c>
      <c r="N50" s="9">
        <f>O50*'PAG20 FE GE'!$C$2+P50*'PAG20 FE GE'!$C$3+Q50*'PAG20 FE GE'!$C$4</f>
        <v>70492.87</v>
      </c>
      <c r="O50" s="9">
        <f>69.07*1000</f>
        <v>69070</v>
      </c>
      <c r="P50" s="9">
        <f>0.0076*1000</f>
        <v>7.6</v>
      </c>
      <c r="Q50" s="9">
        <f>0.00303*1000</f>
        <v>3.0300000000000002</v>
      </c>
      <c r="R50" s="9">
        <f>X50*'PAG100 FE GE'!$E$2+Y50*'PAG100 FE GE'!$E$3+Z50*'PAG100 FE GE'!$E$4</f>
        <v>2514.6778616400006</v>
      </c>
      <c r="S50" s="9">
        <f>X50*'PAG20 FE GE'!$E$2+Y50*'PAG20 FE GE'!$E$3+Z50*'PAG20 FE GE'!$E$4</f>
        <v>2529.2072710800003</v>
      </c>
      <c r="T50" s="9">
        <f>X50*'PAG100 FE GE'!$D$2+Y50*'PAG100 FE GE'!$D$3+Z50*'PAG100 FE GE'!$D$4</f>
        <v>2513.8356810000005</v>
      </c>
      <c r="U50" s="9">
        <f>X50*'PAG20 FE GE'!$D$2+Y50*'PAG20 FE GE'!$D$3+Z50*'PAG20 FE GE'!$D$4</f>
        <v>2529.2650185600005</v>
      </c>
      <c r="V50" s="9">
        <f>X50*'PAG100 FE GE'!$C$2+Y50*'PAG100 FE GE'!$C$3+Z50*'PAG100 FE GE'!$C$4</f>
        <v>2516.6043319200003</v>
      </c>
      <c r="W50" s="9">
        <f>X50*'PAG20 FE GE'!$C$2+Y50*'PAG20 FE GE'!$C$3+Z50*'PAG20 FE GE'!$C$4</f>
        <v>2528.4382611600004</v>
      </c>
      <c r="X50" s="9">
        <f t="shared" ref="X50:X57" si="31">O50*$H50</f>
        <v>2477.4027600000004</v>
      </c>
      <c r="Y50" s="9">
        <f t="shared" ref="Y50:Y57" si="32">P50*$H50</f>
        <v>0.27259680000000003</v>
      </c>
      <c r="Z50" s="9">
        <f t="shared" ref="Z50:Z57" si="33">Q50*$H50</f>
        <v>0.10868004000000002</v>
      </c>
      <c r="AA50" s="9">
        <f>AG50*'PAG100 FE GE'!$E$2+AH50*'PAG100 FE GE'!$E$3+AI50*'PAG100 FE GE'!$E$4</f>
        <v>694.71050730000002</v>
      </c>
      <c r="AB50" s="9">
        <f>AG50*'PAG20 FE GE'!$E$2+AH50*'PAG20 FE GE'!$E$3+AI50*'PAG20 FE GE'!$E$4</f>
        <v>698.72330439999996</v>
      </c>
      <c r="AC50" s="9">
        <f>AG50*'PAG100 FE GE'!$D$2+AH50*'PAG100 FE GE'!$D$3+AI50*'PAG100 FE GE'!$D$4</f>
        <v>694.47803599999997</v>
      </c>
      <c r="AD50" s="9">
        <f>AG50*'PAG20 FE GE'!$D$2+AH50*'PAG20 FE GE'!$D$3+AI50*'PAG20 FE GE'!$D$4</f>
        <v>698.73939499999994</v>
      </c>
      <c r="AE50" s="9">
        <f>AG50*'PAG100 FE GE'!$C$2+AH50*'PAG100 FE GE'!$C$3+AI50*'PAG100 FE GE'!$C$4</f>
        <v>695.24217499999997</v>
      </c>
      <c r="AF50" s="9">
        <f>AG50*'PAG20 FE GE'!$C$2+AH50*'PAG20 FE GE'!$C$3+AI50*'PAG20 FE GE'!$C$4</f>
        <v>698.51066399999991</v>
      </c>
      <c r="AG50" s="9">
        <v>684.42</v>
      </c>
      <c r="AH50" s="9">
        <f>75.287/1000</f>
        <v>7.5287000000000007E-2</v>
      </c>
      <c r="AI50" s="9">
        <v>0.03</v>
      </c>
      <c r="AJ50" s="13">
        <f t="shared" ref="AJ50:AJ57" si="34">AG50/X50*100</f>
        <v>27.626513179471868</v>
      </c>
      <c r="AK50" t="s">
        <v>424</v>
      </c>
      <c r="AL50" t="s">
        <v>790</v>
      </c>
    </row>
    <row r="51" spans="1:38" ht="15.75" thickBot="1" x14ac:dyDescent="0.3">
      <c r="A51" s="4" t="s">
        <v>2</v>
      </c>
      <c r="B51" s="7" t="s">
        <v>14</v>
      </c>
      <c r="C51" s="5" t="s">
        <v>3</v>
      </c>
      <c r="D51" s="6" t="s">
        <v>7</v>
      </c>
      <c r="E51" s="6" t="str">
        <f t="shared" si="1"/>
        <v>Pesado de Passageiros M3: III : Gasóleo : E1</v>
      </c>
      <c r="F51" s="6" t="s">
        <v>55</v>
      </c>
      <c r="G51" s="6" t="s">
        <v>96</v>
      </c>
      <c r="H51" s="9">
        <f>IF(G51="MJ",INDEX(Tabela1[Energia (MJ/Qtd.)],MATCH(C51,Tabela1[Fuel],0)),IF(G51="GJ",INDEX(Tabela1[Energia (GJ/Qtd.)2],MATCH(C51,Tabela1[Fuel],0)),"XXX"))</f>
        <v>3.5868000000000004E-2</v>
      </c>
      <c r="I51" s="9">
        <f>O51*'PAG100 FE GE'!$E$2+P51*'PAG100 FE GE'!$E$3+Q51*'PAG100 FE GE'!$E$4</f>
        <v>69538.538</v>
      </c>
      <c r="J51" s="9">
        <f>O51*'PAG20 FE GE'!$E$2+P51*'PAG20 FE GE'!$E$3+Q51*'PAG20 FE GE'!$E$4</f>
        <v>69966.004000000001</v>
      </c>
      <c r="K51" s="9">
        <f>O51*'PAG100 FE GE'!$D$2+P51*'PAG100 FE GE'!$D$3+Q51*'PAG100 FE GE'!$D$4</f>
        <v>69532.459999999992</v>
      </c>
      <c r="L51" s="9">
        <f>O51*'PAG20 FE GE'!$D$2+P51*'PAG20 FE GE'!$D$3+Q51*'PAG20 FE GE'!$D$4</f>
        <v>69988.739999999991</v>
      </c>
      <c r="M51" s="9">
        <f>O51*'PAG100 FE GE'!$C$2+P51*'PAG100 FE GE'!$C$3+Q51*'PAG100 FE GE'!$C$4</f>
        <v>69536.78</v>
      </c>
      <c r="N51" s="9">
        <f>O51*'PAG20 FE GE'!$C$2+P51*'PAG20 FE GE'!$C$3+Q51*'PAG20 FE GE'!$C$4</f>
        <v>69905.98</v>
      </c>
      <c r="O51" s="9">
        <f>69.08*1000</f>
        <v>69080</v>
      </c>
      <c r="P51" s="9">
        <f>0.00802*1000</f>
        <v>8.02</v>
      </c>
      <c r="Q51" s="9">
        <f>0.00086*1000</f>
        <v>0.86</v>
      </c>
      <c r="R51" s="9">
        <f>X51*'PAG100 FE GE'!$E$2+Y51*'PAG100 FE GE'!$E$3+Z51*'PAG100 FE GE'!$E$4</f>
        <v>2494.2082809840003</v>
      </c>
      <c r="S51" s="9">
        <f>X51*'PAG20 FE GE'!$E$2+Y51*'PAG20 FE GE'!$E$3+Z51*'PAG20 FE GE'!$E$4</f>
        <v>2509.5406314720003</v>
      </c>
      <c r="T51" s="9">
        <f>X51*'PAG100 FE GE'!$D$2+Y51*'PAG100 FE GE'!$D$3+Z51*'PAG100 FE GE'!$D$4</f>
        <v>2493.9902752800003</v>
      </c>
      <c r="U51" s="9">
        <f>X51*'PAG20 FE GE'!$D$2+Y51*'PAG20 FE GE'!$D$3+Z51*'PAG20 FE GE'!$D$4</f>
        <v>2510.3561263200004</v>
      </c>
      <c r="V51" s="9">
        <f>X51*'PAG100 FE GE'!$C$2+Y51*'PAG100 FE GE'!$C$3+Z51*'PAG100 FE GE'!$C$4</f>
        <v>2494.1452250400002</v>
      </c>
      <c r="W51" s="9">
        <f>X51*'PAG20 FE GE'!$C$2+Y51*'PAG20 FE GE'!$C$3+Z51*'PAG20 FE GE'!$C$4</f>
        <v>2507.3876906400005</v>
      </c>
      <c r="X51" s="9">
        <f t="shared" si="31"/>
        <v>2477.7614400000002</v>
      </c>
      <c r="Y51" s="9">
        <f t="shared" si="32"/>
        <v>0.28766136000000003</v>
      </c>
      <c r="Z51" s="9">
        <f t="shared" si="33"/>
        <v>3.0846480000000003E-2</v>
      </c>
      <c r="AA51" s="9">
        <f>AG51*'PAG100 FE GE'!$E$2+AH51*'PAG100 FE GE'!$E$3+AI51*'PAG100 FE GE'!$E$4</f>
        <v>652.48088729999995</v>
      </c>
      <c r="AB51" s="9">
        <f>AG51*'PAG20 FE GE'!$E$2+AH51*'PAG20 FE GE'!$E$3+AI51*'PAG20 FE GE'!$E$4</f>
        <v>656.49368439999989</v>
      </c>
      <c r="AC51" s="9">
        <f>AG51*'PAG100 FE GE'!$D$2+AH51*'PAG100 FE GE'!$D$3+AI51*'PAG100 FE GE'!$D$4</f>
        <v>652.42393599999991</v>
      </c>
      <c r="AD51" s="9">
        <f>AG51*'PAG20 FE GE'!$D$2+AH51*'PAG20 FE GE'!$D$3+AI51*'PAG20 FE GE'!$D$4</f>
        <v>656.70723499999997</v>
      </c>
      <c r="AE51" s="9">
        <f>AG51*'PAG100 FE GE'!$C$2+AH51*'PAG100 FE GE'!$C$3+AI51*'PAG100 FE GE'!$C$4</f>
        <v>652.46405499999992</v>
      </c>
      <c r="AF51" s="9">
        <f>AG51*'PAG20 FE GE'!$C$2+AH51*'PAG20 FE GE'!$C$3+AI51*'PAG20 FE GE'!$C$4</f>
        <v>655.93000399999994</v>
      </c>
      <c r="AG51" s="9">
        <v>648.17999999999995</v>
      </c>
      <c r="AH51" s="9">
        <f>75.287/1000</f>
        <v>7.5287000000000007E-2</v>
      </c>
      <c r="AI51" s="9">
        <f>8.06/1000</f>
        <v>8.0600000000000012E-3</v>
      </c>
      <c r="AJ51" s="13">
        <f t="shared" si="34"/>
        <v>26.15990343283411</v>
      </c>
      <c r="AK51" t="s">
        <v>424</v>
      </c>
      <c r="AL51" t="s">
        <v>790</v>
      </c>
    </row>
    <row r="52" spans="1:38" ht="15.75" thickBot="1" x14ac:dyDescent="0.3">
      <c r="A52" s="4" t="s">
        <v>2</v>
      </c>
      <c r="B52" s="7" t="s">
        <v>14</v>
      </c>
      <c r="C52" s="5" t="s">
        <v>3</v>
      </c>
      <c r="D52" s="6" t="s">
        <v>9</v>
      </c>
      <c r="E52" s="6" t="str">
        <f t="shared" si="1"/>
        <v>Pesado de Passageiros M3: III : Gasóleo : E2</v>
      </c>
      <c r="F52" s="6" t="s">
        <v>55</v>
      </c>
      <c r="G52" s="6" t="s">
        <v>96</v>
      </c>
      <c r="H52" s="9">
        <f>IF(G52="MJ",INDEX(Tabela1[Energia (MJ/Qtd.)],MATCH(C52,Tabela1[Fuel],0)),IF(G52="GJ",INDEX(Tabela1[Energia (GJ/Qtd.)2],MATCH(C52,Tabela1[Fuel],0)),"XXX"))</f>
        <v>3.5868000000000004E-2</v>
      </c>
      <c r="I52" s="9">
        <f>O52*'PAG100 FE GE'!$E$2+P52*'PAG100 FE GE'!$E$3+Q52*'PAG100 FE GE'!$E$4</f>
        <v>69442.921999999991</v>
      </c>
      <c r="J52" s="9">
        <f>O52*'PAG20 FE GE'!$E$2+P52*'PAG20 FE GE'!$E$3+Q52*'PAG20 FE GE'!$E$4</f>
        <v>69719.015999999989</v>
      </c>
      <c r="K52" s="9">
        <f>O52*'PAG100 FE GE'!$D$2+P52*'PAG100 FE GE'!$D$3+Q52*'PAG100 FE GE'!$D$4</f>
        <v>69437.039999999994</v>
      </c>
      <c r="L52" s="9">
        <f>O52*'PAG20 FE GE'!$D$2+P52*'PAG20 FE GE'!$D$3+Q52*'PAG20 FE GE'!$D$4</f>
        <v>69731.5</v>
      </c>
      <c r="M52" s="9">
        <f>O52*'PAG100 FE GE'!$C$2+P52*'PAG100 FE GE'!$C$3+Q52*'PAG100 FE GE'!$C$4</f>
        <v>69447.899999999994</v>
      </c>
      <c r="N52" s="9">
        <f>O52*'PAG20 FE GE'!$C$2+P52*'PAG20 FE GE'!$C$3+Q52*'PAG20 FE GE'!$C$4</f>
        <v>69684.160000000003</v>
      </c>
      <c r="O52" s="9">
        <f>69.08*1000</f>
        <v>69080</v>
      </c>
      <c r="P52" s="9">
        <f>0.00518*1000</f>
        <v>5.18</v>
      </c>
      <c r="Q52" s="9">
        <f>0.0008*1000</f>
        <v>0.8</v>
      </c>
      <c r="R52" s="9">
        <f>X52*'PAG100 FE GE'!$E$2+Y52*'PAG100 FE GE'!$E$3+Z52*'PAG100 FE GE'!$E$4</f>
        <v>2490.7787262960001</v>
      </c>
      <c r="S52" s="9">
        <f>X52*'PAG20 FE GE'!$E$2+Y52*'PAG20 FE GE'!$E$3+Z52*'PAG20 FE GE'!$E$4</f>
        <v>2500.6816658880002</v>
      </c>
      <c r="T52" s="9">
        <f>X52*'PAG100 FE GE'!$D$2+Y52*'PAG100 FE GE'!$D$3+Z52*'PAG100 FE GE'!$D$4</f>
        <v>2490.5677507199998</v>
      </c>
      <c r="U52" s="9">
        <f>X52*'PAG20 FE GE'!$D$2+Y52*'PAG20 FE GE'!$D$3+Z52*'PAG20 FE GE'!$D$4</f>
        <v>2501.1294419999999</v>
      </c>
      <c r="V52" s="9">
        <f>X52*'PAG100 FE GE'!$C$2+Y52*'PAG100 FE GE'!$C$3+Z52*'PAG100 FE GE'!$C$4</f>
        <v>2490.9572772000001</v>
      </c>
      <c r="W52" s="9">
        <f>X52*'PAG20 FE GE'!$C$2+Y52*'PAG20 FE GE'!$C$3+Z52*'PAG20 FE GE'!$C$4</f>
        <v>2499.4314508800003</v>
      </c>
      <c r="X52" s="9">
        <f t="shared" si="31"/>
        <v>2477.7614400000002</v>
      </c>
      <c r="Y52" s="9">
        <f t="shared" si="32"/>
        <v>0.18579624</v>
      </c>
      <c r="Z52" s="9">
        <f t="shared" si="33"/>
        <v>2.8694400000000005E-2</v>
      </c>
      <c r="AA52" s="9">
        <f>AG52*'PAG100 FE GE'!$E$2+AH52*'PAG100 FE GE'!$E$3+AI52*'PAG100 FE GE'!$E$4</f>
        <v>655.90738440000007</v>
      </c>
      <c r="AB52" s="9">
        <f>AG52*'PAG20 FE GE'!$E$2+AH52*'PAG20 FE GE'!$E$3+AI52*'PAG20 FE GE'!$E$4</f>
        <v>658.51567320000004</v>
      </c>
      <c r="AC52" s="9">
        <f>AG52*'PAG100 FE GE'!$D$2+AH52*'PAG100 FE GE'!$D$3+AI52*'PAG100 FE GE'!$D$4</f>
        <v>655.85155800000007</v>
      </c>
      <c r="AD52" s="9">
        <f>AG52*'PAG20 FE GE'!$D$2+AH52*'PAG20 FE GE'!$D$3+AI52*'PAG20 FE GE'!$D$4</f>
        <v>658.63332000000014</v>
      </c>
      <c r="AE52" s="9">
        <f>AG52*'PAG100 FE GE'!$C$2+AH52*'PAG100 FE GE'!$C$3+AI52*'PAG100 FE GE'!$C$4</f>
        <v>655.95521999999994</v>
      </c>
      <c r="AF52" s="9">
        <f>AG52*'PAG20 FE GE'!$C$2+AH52*'PAG20 FE GE'!$C$3+AI52*'PAG20 FE GE'!$C$4</f>
        <v>658.18690199999992</v>
      </c>
      <c r="AG52" s="9">
        <v>652.47</v>
      </c>
      <c r="AH52" s="9">
        <f>48.936/1000</f>
        <v>4.8936E-2</v>
      </c>
      <c r="AI52" s="9">
        <f>7.59/1000</f>
        <v>7.5899999999999995E-3</v>
      </c>
      <c r="AJ52" s="13">
        <f t="shared" si="34"/>
        <v>26.333043587925076</v>
      </c>
      <c r="AK52" t="s">
        <v>424</v>
      </c>
      <c r="AL52" t="s">
        <v>790</v>
      </c>
    </row>
    <row r="53" spans="1:38" ht="15.75" thickBot="1" x14ac:dyDescent="0.3">
      <c r="A53" s="4" t="s">
        <v>2</v>
      </c>
      <c r="B53" s="7" t="s">
        <v>14</v>
      </c>
      <c r="C53" s="5" t="s">
        <v>3</v>
      </c>
      <c r="D53" s="6" t="s">
        <v>10</v>
      </c>
      <c r="E53" s="6" t="str">
        <f t="shared" si="1"/>
        <v>Pesado de Passageiros M3: III : Gasóleo : E3</v>
      </c>
      <c r="F53" s="6" t="s">
        <v>55</v>
      </c>
      <c r="G53" s="6" t="s">
        <v>96</v>
      </c>
      <c r="H53" s="9">
        <f>IF(G53="MJ",INDEX(Tabela1[Energia (MJ/Qtd.)],MATCH(C53,Tabela1[Fuel],0)),IF(G53="GJ",INDEX(Tabela1[Energia (GJ/Qtd.)2],MATCH(C53,Tabela1[Fuel],0)),"XXX"))</f>
        <v>3.5868000000000004E-2</v>
      </c>
      <c r="I53" s="9">
        <f>O53*'PAG100 FE GE'!$E$2+P53*'PAG100 FE GE'!$E$3+Q53*'PAG100 FE GE'!$E$4</f>
        <v>69341.053999999989</v>
      </c>
      <c r="J53" s="9">
        <f>O53*'PAG20 FE GE'!$E$2+P53*'PAG20 FE GE'!$E$3+Q53*'PAG20 FE GE'!$E$4</f>
        <v>69589.432000000001</v>
      </c>
      <c r="K53" s="9">
        <f>O53*'PAG100 FE GE'!$D$2+P53*'PAG100 FE GE'!$D$3+Q53*'PAG100 FE GE'!$D$4</f>
        <v>69337.679999999993</v>
      </c>
      <c r="L53" s="9">
        <f>O53*'PAG20 FE GE'!$D$2+P53*'PAG20 FE GE'!$D$3+Q53*'PAG20 FE GE'!$D$4</f>
        <v>69602.820000000007</v>
      </c>
      <c r="M53" s="9">
        <f>O53*'PAG100 FE GE'!$C$2+P53*'PAG100 FE GE'!$C$3+Q53*'PAG100 FE GE'!$C$4</f>
        <v>69339.539999999994</v>
      </c>
      <c r="N53" s="9">
        <f>O53*'PAG20 FE GE'!$C$2+P53*'PAG20 FE GE'!$C$3+Q53*'PAG20 FE GE'!$C$4</f>
        <v>69554.240000000005</v>
      </c>
      <c r="O53" s="9">
        <f>69.08*1000</f>
        <v>69080</v>
      </c>
      <c r="P53" s="9">
        <f>0.00466*1000</f>
        <v>4.66</v>
      </c>
      <c r="Q53" s="9">
        <f>0.00048*1000</f>
        <v>0.48000000000000004</v>
      </c>
      <c r="R53" s="9">
        <f>X53*'PAG100 FE GE'!$E$2+Y53*'PAG100 FE GE'!$E$3+Z53*'PAG100 FE GE'!$E$4</f>
        <v>2487.1249248720001</v>
      </c>
      <c r="S53" s="9">
        <f>X53*'PAG20 FE GE'!$E$2+Y53*'PAG20 FE GE'!$E$3+Z53*'PAG20 FE GE'!$E$4</f>
        <v>2496.0337469760002</v>
      </c>
      <c r="T53" s="9">
        <f>X53*'PAG100 FE GE'!$D$2+Y53*'PAG100 FE GE'!$D$3+Z53*'PAG100 FE GE'!$D$4</f>
        <v>2487.0039062400006</v>
      </c>
      <c r="U53" s="9">
        <f>X53*'PAG20 FE GE'!$D$2+Y53*'PAG20 FE GE'!$D$3+Z53*'PAG20 FE GE'!$D$4</f>
        <v>2496.5139477600001</v>
      </c>
      <c r="V53" s="9">
        <f>X53*'PAG100 FE GE'!$C$2+Y53*'PAG100 FE GE'!$C$3+Z53*'PAG100 FE GE'!$C$4</f>
        <v>2487.0706207200001</v>
      </c>
      <c r="W53" s="9">
        <f>X53*'PAG20 FE GE'!$C$2+Y53*'PAG20 FE GE'!$C$3+Z53*'PAG20 FE GE'!$C$4</f>
        <v>2494.7714803200001</v>
      </c>
      <c r="X53" s="9">
        <f t="shared" si="31"/>
        <v>2477.7614400000002</v>
      </c>
      <c r="Y53" s="9">
        <f t="shared" si="32"/>
        <v>0.16714488000000002</v>
      </c>
      <c r="Z53" s="9">
        <f t="shared" si="33"/>
        <v>1.7216640000000002E-2</v>
      </c>
      <c r="AA53" s="9">
        <f>AG53*'PAG100 FE GE'!$E$2+AH53*'PAG100 FE GE'!$E$3+AI53*'PAG100 FE GE'!$E$4</f>
        <v>660.89598009999986</v>
      </c>
      <c r="AB53" s="9">
        <f>AG53*'PAG20 FE GE'!$E$2+AH53*'PAG20 FE GE'!$E$3+AI53*'PAG20 FE GE'!$E$4</f>
        <v>663.26351279999994</v>
      </c>
      <c r="AC53" s="9">
        <f>AG53*'PAG100 FE GE'!$D$2+AH53*'PAG100 FE GE'!$D$3+AI53*'PAG100 FE GE'!$D$4</f>
        <v>660.86418200000003</v>
      </c>
      <c r="AD53" s="9">
        <f>AG53*'PAG20 FE GE'!$D$2+AH53*'PAG20 FE GE'!$D$3+AI53*'PAG20 FE GE'!$D$4</f>
        <v>663.39153499999998</v>
      </c>
      <c r="AE53" s="9">
        <f>AG53*'PAG100 FE GE'!$C$2+AH53*'PAG100 FE GE'!$C$3+AI53*'PAG100 FE GE'!$C$4</f>
        <v>660.88041499999986</v>
      </c>
      <c r="AF53" s="9">
        <f>AG53*'PAG20 FE GE'!$C$2+AH53*'PAG20 FE GE'!$C$3+AI53*'PAG20 FE GE'!$C$4</f>
        <v>662.92733799999996</v>
      </c>
      <c r="AG53" s="9">
        <v>658.42</v>
      </c>
      <c r="AH53" s="9">
        <f>44.419/1000</f>
        <v>4.4419E-2</v>
      </c>
      <c r="AI53" s="9">
        <f>4.53/1000</f>
        <v>4.5300000000000002E-3</v>
      </c>
      <c r="AJ53" s="13">
        <f t="shared" si="34"/>
        <v>26.573179700463818</v>
      </c>
      <c r="AK53" t="s">
        <v>424</v>
      </c>
      <c r="AL53" t="s">
        <v>790</v>
      </c>
    </row>
    <row r="54" spans="1:38" ht="15.75" thickBot="1" x14ac:dyDescent="0.3">
      <c r="A54" s="4" t="s">
        <v>2</v>
      </c>
      <c r="B54" s="7" t="s">
        <v>14</v>
      </c>
      <c r="C54" s="5" t="s">
        <v>3</v>
      </c>
      <c r="D54" s="6" t="s">
        <v>4</v>
      </c>
      <c r="E54" s="6" t="str">
        <f t="shared" si="1"/>
        <v>Pesado de Passageiros M3: III : Gasóleo : E4</v>
      </c>
      <c r="F54" s="6" t="s">
        <v>55</v>
      </c>
      <c r="G54" s="6" t="s">
        <v>96</v>
      </c>
      <c r="H54" s="9">
        <f>IF(G54="MJ",INDEX(Tabela1[Energia (MJ/Qtd.)],MATCH(C54,Tabela1[Fuel],0)),IF(G54="GJ",INDEX(Tabela1[Energia (GJ/Qtd.)2],MATCH(C54,Tabela1[Fuel],0)),"XXX"))</f>
        <v>3.5868000000000004E-2</v>
      </c>
      <c r="I54" s="9">
        <f>O54*'PAG100 FE GE'!$E$2+P54*'PAG100 FE GE'!$E$3+Q54*'PAG100 FE GE'!$E$4</f>
        <v>69782.516000000003</v>
      </c>
      <c r="J54" s="9">
        <f>O54*'PAG20 FE GE'!$E$2+P54*'PAG20 FE GE'!$E$3+Q54*'PAG20 FE GE'!$E$4</f>
        <v>69795.308000000005</v>
      </c>
      <c r="K54" s="9">
        <f>O54*'PAG100 FE GE'!$D$2+P54*'PAG100 FE GE'!$D$3+Q54*'PAG100 FE GE'!$D$4</f>
        <v>69771.820000000007</v>
      </c>
      <c r="L54" s="9">
        <f>O54*'PAG20 FE GE'!$D$2+P54*'PAG20 FE GE'!$D$3+Q54*'PAG20 FE GE'!$D$4</f>
        <v>69784.159999999989</v>
      </c>
      <c r="M54" s="9">
        <f>O54*'PAG100 FE GE'!$C$2+P54*'PAG100 FE GE'!$C$3+Q54*'PAG100 FE GE'!$C$4</f>
        <v>69815.320000000007</v>
      </c>
      <c r="N54" s="9">
        <f>O54*'PAG20 FE GE'!$C$2+P54*'PAG20 FE GE'!$C$3+Q54*'PAG20 FE GE'!$C$4</f>
        <v>69814.539999999994</v>
      </c>
      <c r="O54" s="9">
        <f>69.41*1000</f>
        <v>69410</v>
      </c>
      <c r="P54" s="9">
        <f>0.00024*1000</f>
        <v>0.24000000000000002</v>
      </c>
      <c r="Q54" s="9">
        <f>0.00134*1000</f>
        <v>1.34</v>
      </c>
      <c r="R54" s="9">
        <f>X54*'PAG100 FE GE'!$E$2+Y54*'PAG100 FE GE'!$E$3+Z54*'PAG100 FE GE'!$E$4</f>
        <v>2502.9592838880003</v>
      </c>
      <c r="S54" s="9">
        <f>X54*'PAG20 FE GE'!$E$2+Y54*'PAG20 FE GE'!$E$3+Z54*'PAG20 FE GE'!$E$4</f>
        <v>2503.4181073440004</v>
      </c>
      <c r="T54" s="9">
        <f>X54*'PAG100 FE GE'!$D$2+Y54*'PAG100 FE GE'!$D$3+Z54*'PAG100 FE GE'!$D$4</f>
        <v>2502.5756397600003</v>
      </c>
      <c r="U54" s="9">
        <f>X54*'PAG20 FE GE'!$D$2+Y54*'PAG20 FE GE'!$D$3+Z54*'PAG20 FE GE'!$D$4</f>
        <v>2503.0182508800003</v>
      </c>
      <c r="V54" s="9">
        <f>X54*'PAG100 FE GE'!$C$2+Y54*'PAG100 FE GE'!$C$3+Z54*'PAG100 FE GE'!$C$4</f>
        <v>2504.1358977600003</v>
      </c>
      <c r="W54" s="9">
        <f>X54*'PAG20 FE GE'!$C$2+Y54*'PAG20 FE GE'!$C$3+Z54*'PAG20 FE GE'!$C$4</f>
        <v>2504.1079207200005</v>
      </c>
      <c r="X54" s="9">
        <f t="shared" si="31"/>
        <v>2489.5978800000003</v>
      </c>
      <c r="Y54" s="9">
        <f t="shared" si="32"/>
        <v>8.6083200000000009E-3</v>
      </c>
      <c r="Z54" s="9">
        <f t="shared" si="33"/>
        <v>4.8063120000000008E-2</v>
      </c>
      <c r="AA54" s="9">
        <f>AG54*'PAG100 FE GE'!$E$2+AH54*'PAG100 FE GE'!$E$3+AI54*'PAG100 FE GE'!$E$4</f>
        <v>661.17193609999993</v>
      </c>
      <c r="AB54" s="9">
        <f>AG54*'PAG20 FE GE'!$E$2+AH54*'PAG20 FE GE'!$E$3+AI54*'PAG20 FE GE'!$E$4</f>
        <v>661.29234079999992</v>
      </c>
      <c r="AC54" s="9">
        <f>AG54*'PAG100 FE GE'!$D$2+AH54*'PAG100 FE GE'!$D$3+AI54*'PAG100 FE GE'!$D$4</f>
        <v>661.07080199999996</v>
      </c>
      <c r="AD54" s="9">
        <f>AG54*'PAG20 FE GE'!$D$2+AH54*'PAG20 FE GE'!$D$3+AI54*'PAG20 FE GE'!$D$4</f>
        <v>661.18689499999994</v>
      </c>
      <c r="AE54" s="9">
        <f>AG54*'PAG100 FE GE'!$C$2+AH54*'PAG100 FE GE'!$C$3+AI54*'PAG100 FE GE'!$C$4</f>
        <v>661.48213499999997</v>
      </c>
      <c r="AF54" s="9">
        <f>AG54*'PAG20 FE GE'!$C$2+AH54*'PAG20 FE GE'!$C$3+AI54*'PAG20 FE GE'!$C$4</f>
        <v>661.47427799999991</v>
      </c>
      <c r="AG54" s="9">
        <v>657.65</v>
      </c>
      <c r="AH54" s="9">
        <f>2.259/1000</f>
        <v>2.2589999999999997E-3</v>
      </c>
      <c r="AI54" s="9">
        <f>12.67/1000</f>
        <v>1.2670000000000001E-2</v>
      </c>
      <c r="AJ54" s="13">
        <f t="shared" si="34"/>
        <v>26.415912597097808</v>
      </c>
      <c r="AK54" t="s">
        <v>424</v>
      </c>
      <c r="AL54" t="s">
        <v>790</v>
      </c>
    </row>
    <row r="55" spans="1:38" ht="15.75" thickBot="1" x14ac:dyDescent="0.3">
      <c r="A55" s="4" t="s">
        <v>2</v>
      </c>
      <c r="B55" s="7" t="s">
        <v>14</v>
      </c>
      <c r="C55" s="5" t="s">
        <v>3</v>
      </c>
      <c r="D55" s="6" t="s">
        <v>5</v>
      </c>
      <c r="E55" s="6" t="str">
        <f t="shared" si="1"/>
        <v>Pesado de Passageiros M3: III : Gasóleo : E5</v>
      </c>
      <c r="F55" s="6" t="s">
        <v>55</v>
      </c>
      <c r="G55" s="6" t="s">
        <v>96</v>
      </c>
      <c r="H55" s="9">
        <f>IF(G55="MJ",INDEX(Tabela1[Energia (MJ/Qtd.)],MATCH(C55,Tabela1[Fuel],0)),IF(G55="GJ",INDEX(Tabela1[Energia (GJ/Qtd.)2],MATCH(C55,Tabela1[Fuel],0)),"XXX"))</f>
        <v>3.5868000000000004E-2</v>
      </c>
      <c r="I55" s="9">
        <f>O55*'PAG100 FE GE'!$E$2+P55*'PAG100 FE GE'!$E$3+Q55*'PAG100 FE GE'!$E$4</f>
        <v>70429.247000000003</v>
      </c>
      <c r="J55" s="9">
        <f>O55*'PAG20 FE GE'!$E$2+P55*'PAG20 FE GE'!$E$3+Q55*'PAG20 FE GE'!$E$4</f>
        <v>70441.506000000008</v>
      </c>
      <c r="K55" s="9">
        <f>O55*'PAG100 FE GE'!$D$2+P55*'PAG100 FE GE'!$D$3+Q55*'PAG100 FE GE'!$D$4</f>
        <v>70399.59</v>
      </c>
      <c r="L55" s="9">
        <f>O55*'PAG20 FE GE'!$D$2+P55*'PAG20 FE GE'!$D$3+Q55*'PAG20 FE GE'!$D$4</f>
        <v>70408.990000000005</v>
      </c>
      <c r="M55" s="9">
        <f>O55*'PAG100 FE GE'!$C$2+P55*'PAG100 FE GE'!$C$3+Q55*'PAG100 FE GE'!$C$4</f>
        <v>70521.33</v>
      </c>
      <c r="N55" s="9">
        <f>O55*'PAG20 FE GE'!$C$2+P55*'PAG20 FE GE'!$C$3+Q55*'PAG20 FE GE'!$C$4</f>
        <v>70498.75</v>
      </c>
      <c r="O55" s="9">
        <f>69.41*1000</f>
        <v>69410</v>
      </c>
      <c r="P55" s="9">
        <f>0.00023*1000</f>
        <v>0.23</v>
      </c>
      <c r="Q55" s="9">
        <f>0.00371*1000</f>
        <v>3.7100000000000004</v>
      </c>
      <c r="R55" s="9">
        <f>X55*'PAG100 FE GE'!$E$2+Y55*'PAG100 FE GE'!$E$3+Z55*'PAG100 FE GE'!$E$4</f>
        <v>2526.1562313960003</v>
      </c>
      <c r="S55" s="9">
        <f>X55*'PAG20 FE GE'!$E$2+Y55*'PAG20 FE GE'!$E$3+Z55*'PAG20 FE GE'!$E$4</f>
        <v>2526.5959372080001</v>
      </c>
      <c r="T55" s="9">
        <f>X55*'PAG100 FE GE'!$D$2+Y55*'PAG100 FE GE'!$D$3+Z55*'PAG100 FE GE'!$D$4</f>
        <v>2525.0924941200001</v>
      </c>
      <c r="U55" s="9">
        <f>X55*'PAG20 FE GE'!$D$2+Y55*'PAG20 FE GE'!$D$3+Z55*'PAG20 FE GE'!$D$4</f>
        <v>2525.4296533200004</v>
      </c>
      <c r="V55" s="9">
        <f>X55*'PAG100 FE GE'!$C$2+Y55*'PAG100 FE GE'!$C$3+Z55*'PAG100 FE GE'!$C$4</f>
        <v>2529.45906444</v>
      </c>
      <c r="W55" s="9">
        <f>X55*'PAG20 FE GE'!$C$2+Y55*'PAG20 FE GE'!$C$3+Z55*'PAG20 FE GE'!$C$4</f>
        <v>2528.6491650000003</v>
      </c>
      <c r="X55" s="9">
        <f t="shared" si="31"/>
        <v>2489.5978800000003</v>
      </c>
      <c r="Y55" s="9">
        <f t="shared" si="32"/>
        <v>8.2496400000000008E-3</v>
      </c>
      <c r="Z55" s="9">
        <f t="shared" si="33"/>
        <v>0.13307028000000004</v>
      </c>
      <c r="AA55" s="9">
        <f>AG55*'PAG100 FE GE'!$E$2+AH55*'PAG100 FE GE'!$E$3+AI55*'PAG100 FE GE'!$E$4</f>
        <v>703.1085961</v>
      </c>
      <c r="AB55" s="9">
        <f>AG55*'PAG20 FE GE'!$E$2+AH55*'PAG20 FE GE'!$E$3+AI55*'PAG20 FE GE'!$E$4</f>
        <v>703.22900079999999</v>
      </c>
      <c r="AC55" s="9">
        <f>AG55*'PAG100 FE GE'!$D$2+AH55*'PAG100 FE GE'!$D$3+AI55*'PAG100 FE GE'!$D$4</f>
        <v>702.81210199999998</v>
      </c>
      <c r="AD55" s="9">
        <f>AG55*'PAG20 FE GE'!$D$2+AH55*'PAG20 FE GE'!$D$3+AI55*'PAG20 FE GE'!$D$4</f>
        <v>702.90377499999988</v>
      </c>
      <c r="AE55" s="9">
        <f>AG55*'PAG100 FE GE'!$C$2+AH55*'PAG100 FE GE'!$C$3+AI55*'PAG100 FE GE'!$C$4</f>
        <v>704.02929499999993</v>
      </c>
      <c r="AF55" s="9">
        <f>AG55*'PAG20 FE GE'!$C$2+AH55*'PAG20 FE GE'!$C$3+AI55*'PAG20 FE GE'!$C$4</f>
        <v>703.80165799999997</v>
      </c>
      <c r="AG55" s="9">
        <v>692.92</v>
      </c>
      <c r="AH55" s="9">
        <f>2.259/1000</f>
        <v>2.2589999999999997E-3</v>
      </c>
      <c r="AI55" s="9">
        <f>37.09/1000</f>
        <v>3.7090000000000005E-2</v>
      </c>
      <c r="AJ55" s="13">
        <f t="shared" si="34"/>
        <v>27.832607248203466</v>
      </c>
      <c r="AK55" t="s">
        <v>424</v>
      </c>
      <c r="AL55" t="s">
        <v>790</v>
      </c>
    </row>
    <row r="56" spans="1:38" ht="15.75" thickBot="1" x14ac:dyDescent="0.3">
      <c r="A56" s="4" t="s">
        <v>2</v>
      </c>
      <c r="B56" s="7" t="s">
        <v>14</v>
      </c>
      <c r="C56" s="5" t="s">
        <v>3</v>
      </c>
      <c r="D56" s="6" t="s">
        <v>6</v>
      </c>
      <c r="E56" s="6" t="str">
        <f t="shared" si="1"/>
        <v>Pesado de Passageiros M3: III : Gasóleo : E6</v>
      </c>
      <c r="F56" s="6" t="s">
        <v>55</v>
      </c>
      <c r="G56" s="6" t="s">
        <v>96</v>
      </c>
      <c r="H56" s="9">
        <f>IF(G56="MJ",INDEX(Tabela1[Energia (MJ/Qtd.)],MATCH(C56,Tabela1[Fuel],0)),IF(G56="GJ",INDEX(Tabela1[Energia (GJ/Qtd.)2],MATCH(C56,Tabela1[Fuel],0)),"XXX"))</f>
        <v>3.5868000000000004E-2</v>
      </c>
      <c r="I56" s="9">
        <f>O56*'PAG100 FE GE'!$E$2+P56*'PAG100 FE GE'!$E$3+Q56*'PAG100 FE GE'!$E$4</f>
        <v>70251.608000000007</v>
      </c>
      <c r="J56" s="9">
        <f>O56*'PAG20 FE GE'!$E$2+P56*'PAG20 FE GE'!$E$3+Q56*'PAG20 FE GE'!$E$4</f>
        <v>70263.334000000003</v>
      </c>
      <c r="K56" s="9">
        <f>O56*'PAG100 FE GE'!$D$2+P56*'PAG100 FE GE'!$D$3+Q56*'PAG100 FE GE'!$D$4</f>
        <v>70224.510000000009</v>
      </c>
      <c r="L56" s="9">
        <f>O56*'PAG20 FE GE'!$D$2+P56*'PAG20 FE GE'!$D$3+Q56*'PAG20 FE GE'!$D$4</f>
        <v>70233.66</v>
      </c>
      <c r="M56" s="9">
        <f>O56*'PAG100 FE GE'!$C$2+P56*'PAG100 FE GE'!$C$3+Q56*'PAG100 FE GE'!$C$4</f>
        <v>70335.72</v>
      </c>
      <c r="N56" s="9">
        <f>O56*'PAG20 FE GE'!$C$2+P56*'PAG20 FE GE'!$C$3+Q56*'PAG20 FE GE'!$C$4</f>
        <v>70315.55</v>
      </c>
      <c r="O56" s="9">
        <f>69.32*1000</f>
        <v>69320</v>
      </c>
      <c r="P56" s="9">
        <f>0.00022*1000</f>
        <v>0.22</v>
      </c>
      <c r="Q56" s="9">
        <f>0.00339*1000</f>
        <v>3.3899999999999997</v>
      </c>
      <c r="R56" s="9">
        <f>X56*'PAG100 FE GE'!$E$2+Y56*'PAG100 FE GE'!$E$3+Z56*'PAG100 FE GE'!$E$4</f>
        <v>2519.7846757440007</v>
      </c>
      <c r="S56" s="9">
        <f>X56*'PAG20 FE GE'!$E$2+Y56*'PAG20 FE GE'!$E$3+Z56*'PAG20 FE GE'!$E$4</f>
        <v>2520.2052639120006</v>
      </c>
      <c r="T56" s="9">
        <f>X56*'PAG100 FE GE'!$D$2+Y56*'PAG100 FE GE'!$D$3+Z56*'PAG100 FE GE'!$D$4</f>
        <v>2518.8127246800004</v>
      </c>
      <c r="U56" s="9">
        <f>X56*'PAG20 FE GE'!$D$2+Y56*'PAG20 FE GE'!$D$3+Z56*'PAG20 FE GE'!$D$4</f>
        <v>2519.1409168800005</v>
      </c>
      <c r="V56" s="9">
        <f>X56*'PAG100 FE GE'!$C$2+Y56*'PAG100 FE GE'!$C$3+Z56*'PAG100 FE GE'!$C$4</f>
        <v>2522.8016049600005</v>
      </c>
      <c r="W56" s="9">
        <f>X56*'PAG20 FE GE'!$C$2+Y56*'PAG20 FE GE'!$C$3+Z56*'PAG20 FE GE'!$C$4</f>
        <v>2522.0781474000005</v>
      </c>
      <c r="X56" s="9">
        <f t="shared" si="31"/>
        <v>2486.3697600000005</v>
      </c>
      <c r="Y56" s="9">
        <f t="shared" si="32"/>
        <v>7.8909600000000007E-3</v>
      </c>
      <c r="Z56" s="9">
        <f t="shared" si="33"/>
        <v>0.12159252</v>
      </c>
      <c r="AA56" s="9">
        <f>AG56*'PAG100 FE GE'!$E$2+AH56*'PAG100 FE GE'!$E$3+AI56*'PAG100 FE GE'!$E$4</f>
        <v>709.76419610000005</v>
      </c>
      <c r="AB56" s="9">
        <f>AG56*'PAG20 FE GE'!$E$2+AH56*'PAG20 FE GE'!$E$3+AI56*'PAG20 FE GE'!$E$4</f>
        <v>709.88460080000004</v>
      </c>
      <c r="AC56" s="9">
        <f>AG56*'PAG100 FE GE'!$D$2+AH56*'PAG100 FE GE'!$D$3+AI56*'PAG100 FE GE'!$D$4</f>
        <v>709.49010200000009</v>
      </c>
      <c r="AD56" s="9">
        <f>AG56*'PAG20 FE GE'!$D$2+AH56*'PAG20 FE GE'!$D$3+AI56*'PAG20 FE GE'!$D$4</f>
        <v>709.58457499999997</v>
      </c>
      <c r="AE56" s="9">
        <f>AG56*'PAG100 FE GE'!$C$2+AH56*'PAG100 FE GE'!$C$3+AI56*'PAG100 FE GE'!$C$4</f>
        <v>710.61489500000005</v>
      </c>
      <c r="AF56" s="9">
        <f>AG56*'PAG20 FE GE'!$C$2+AH56*'PAG20 FE GE'!$C$3+AI56*'PAG20 FE GE'!$C$4</f>
        <v>710.41245800000002</v>
      </c>
      <c r="AG56" s="9">
        <v>700.34</v>
      </c>
      <c r="AH56" s="9">
        <f>2.259/1000</f>
        <v>2.2589999999999997E-3</v>
      </c>
      <c r="AI56" s="9">
        <f>34.29/1000</f>
        <v>3.4290000000000001E-2</v>
      </c>
      <c r="AJ56" s="13">
        <f t="shared" si="34"/>
        <v>28.167170115518132</v>
      </c>
      <c r="AK56" t="s">
        <v>424</v>
      </c>
      <c r="AL56" t="s">
        <v>790</v>
      </c>
    </row>
    <row r="57" spans="1:38" ht="15.75" thickBot="1" x14ac:dyDescent="0.3">
      <c r="A57" s="4" t="s">
        <v>2</v>
      </c>
      <c r="B57" s="7" t="s">
        <v>14</v>
      </c>
      <c r="C57" s="5" t="s">
        <v>3</v>
      </c>
      <c r="D57" s="6" t="s">
        <v>81</v>
      </c>
      <c r="E57" s="6" t="str">
        <f t="shared" si="1"/>
        <v>Pesado de Passageiros M3: III : Gasóleo : E6 D/E E7</v>
      </c>
      <c r="F57" s="6" t="s">
        <v>55</v>
      </c>
      <c r="G57" s="6" t="s">
        <v>96</v>
      </c>
      <c r="H57" s="9">
        <f>IF(G57="MJ",INDEX(Tabela1[Energia (MJ/Qtd.)],MATCH(C57,Tabela1[Fuel],0)),IF(G57="GJ",INDEX(Tabela1[Energia (GJ/Qtd.)2],MATCH(C57,Tabela1[Fuel],0)),"XXX"))</f>
        <v>3.5868000000000004E-2</v>
      </c>
      <c r="I57" s="9">
        <f>O57*'PAG100 FE GE'!$E$2+P57*'PAG100 FE GE'!$E$3+Q57*'PAG100 FE GE'!$E$4</f>
        <v>70251.608000000007</v>
      </c>
      <c r="J57" s="9">
        <f>O57*'PAG20 FE GE'!$E$2+P57*'PAG20 FE GE'!$E$3+Q57*'PAG20 FE GE'!$E$4</f>
        <v>70263.334000000003</v>
      </c>
      <c r="K57" s="9">
        <f>O57*'PAG100 FE GE'!$D$2+P57*'PAG100 FE GE'!$D$3+Q57*'PAG100 FE GE'!$D$4</f>
        <v>70224.510000000009</v>
      </c>
      <c r="L57" s="9">
        <f>O57*'PAG20 FE GE'!$D$2+P57*'PAG20 FE GE'!$D$3+Q57*'PAG20 FE GE'!$D$4</f>
        <v>70233.66</v>
      </c>
      <c r="M57" s="9">
        <f>O57*'PAG100 FE GE'!$C$2+P57*'PAG100 FE GE'!$C$3+Q57*'PAG100 FE GE'!$C$4</f>
        <v>70335.72</v>
      </c>
      <c r="N57" s="9">
        <f>O57*'PAG20 FE GE'!$C$2+P57*'PAG20 FE GE'!$C$3+Q57*'PAG20 FE GE'!$C$4</f>
        <v>70315.55</v>
      </c>
      <c r="O57" s="9">
        <f>69.32*1000</f>
        <v>69320</v>
      </c>
      <c r="P57" s="9">
        <f>0.00022*1000</f>
        <v>0.22</v>
      </c>
      <c r="Q57" s="9">
        <f>0.00339*1000</f>
        <v>3.3899999999999997</v>
      </c>
      <c r="R57" s="9">
        <f>X57*'PAG100 FE GE'!$E$2+Y57*'PAG100 FE GE'!$E$3+Z57*'PAG100 FE GE'!$E$4</f>
        <v>2519.7846757440007</v>
      </c>
      <c r="S57" s="9">
        <f>X57*'PAG20 FE GE'!$E$2+Y57*'PAG20 FE GE'!$E$3+Z57*'PAG20 FE GE'!$E$4</f>
        <v>2520.2052639120006</v>
      </c>
      <c r="T57" s="9">
        <f>X57*'PAG100 FE GE'!$D$2+Y57*'PAG100 FE GE'!$D$3+Z57*'PAG100 FE GE'!$D$4</f>
        <v>2518.8127246800004</v>
      </c>
      <c r="U57" s="9">
        <f>X57*'PAG20 FE GE'!$D$2+Y57*'PAG20 FE GE'!$D$3+Z57*'PAG20 FE GE'!$D$4</f>
        <v>2519.1409168800005</v>
      </c>
      <c r="V57" s="9">
        <f>X57*'PAG100 FE GE'!$C$2+Y57*'PAG100 FE GE'!$C$3+Z57*'PAG100 FE GE'!$C$4</f>
        <v>2522.8016049600005</v>
      </c>
      <c r="W57" s="9">
        <f>X57*'PAG20 FE GE'!$C$2+Y57*'PAG20 FE GE'!$C$3+Z57*'PAG20 FE GE'!$C$4</f>
        <v>2522.0781474000005</v>
      </c>
      <c r="X57" s="9">
        <f t="shared" si="31"/>
        <v>2486.3697600000005</v>
      </c>
      <c r="Y57" s="9">
        <f t="shared" si="32"/>
        <v>7.8909600000000007E-3</v>
      </c>
      <c r="Z57" s="9">
        <f t="shared" si="33"/>
        <v>0.12159252</v>
      </c>
      <c r="AA57" s="9">
        <f>AG57*'PAG100 FE GE'!$E$2+AH57*'PAG100 FE GE'!$E$3+AI57*'PAG100 FE GE'!$E$4</f>
        <v>710.78419610000003</v>
      </c>
      <c r="AB57" s="9">
        <f>AG57*'PAG20 FE GE'!$E$2+AH57*'PAG20 FE GE'!$E$3+AI57*'PAG20 FE GE'!$E$4</f>
        <v>710.90460080000003</v>
      </c>
      <c r="AC57" s="9">
        <f>AG57*'PAG100 FE GE'!$D$2+AH57*'PAG100 FE GE'!$D$3+AI57*'PAG100 FE GE'!$D$4</f>
        <v>710.51010200000007</v>
      </c>
      <c r="AD57" s="9">
        <f>AG57*'PAG20 FE GE'!$D$2+AH57*'PAG20 FE GE'!$D$3+AI57*'PAG20 FE GE'!$D$4</f>
        <v>710.60457499999995</v>
      </c>
      <c r="AE57" s="9">
        <f>AG57*'PAG100 FE GE'!$C$2+AH57*'PAG100 FE GE'!$C$3+AI57*'PAG100 FE GE'!$C$4</f>
        <v>711.63489500000003</v>
      </c>
      <c r="AF57" s="9">
        <f>AG57*'PAG20 FE GE'!$C$2+AH57*'PAG20 FE GE'!$C$3+AI57*'PAG20 FE GE'!$C$4</f>
        <v>711.432458</v>
      </c>
      <c r="AG57" s="9">
        <v>701.36</v>
      </c>
      <c r="AH57" s="9">
        <f>2.259/1000</f>
        <v>2.2589999999999997E-3</v>
      </c>
      <c r="AI57" s="9">
        <f>34.29/1000</f>
        <v>3.4290000000000001E-2</v>
      </c>
      <c r="AJ57" s="13">
        <f t="shared" si="34"/>
        <v>28.208193780477764</v>
      </c>
      <c r="AK57" t="s">
        <v>424</v>
      </c>
      <c r="AL57" t="s">
        <v>790</v>
      </c>
    </row>
    <row r="58" spans="1:38" ht="15.75" thickBot="1" x14ac:dyDescent="0.3">
      <c r="A58" s="4" t="s">
        <v>2</v>
      </c>
      <c r="B58" s="7" t="s">
        <v>14</v>
      </c>
      <c r="C58" s="5" t="s">
        <v>92</v>
      </c>
      <c r="D58" s="6" t="s">
        <v>8</v>
      </c>
      <c r="E58" s="6" t="str">
        <f t="shared" si="1"/>
        <v>Pesado de Passageiros M3: III : GNC : E0</v>
      </c>
      <c r="F58" s="6" t="s">
        <v>56</v>
      </c>
      <c r="G58" s="6" t="s">
        <v>96</v>
      </c>
      <c r="H58" s="9">
        <f>IF(G58="MJ",INDEX(Tabela1[Energia (MJ/Qtd.)],MATCH(C58,Tabela1[Fuel],0)),IF(G58="GJ",INDEX(Tabela1[Energia (GJ/Qtd.)2],MATCH(C58,Tabela1[Fuel],0)),"XXX"))</f>
        <v>3.7521600000000002E-2</v>
      </c>
      <c r="I58" s="17">
        <v>-1</v>
      </c>
      <c r="J58" s="17">
        <v>-1</v>
      </c>
      <c r="K58" s="17">
        <v>-1</v>
      </c>
      <c r="L58" s="17">
        <v>-1</v>
      </c>
      <c r="M58" s="17">
        <v>-1</v>
      </c>
      <c r="N58" s="17">
        <v>-1</v>
      </c>
      <c r="O58" s="17">
        <v>-1</v>
      </c>
      <c r="P58" s="17">
        <v>-1</v>
      </c>
      <c r="Q58" s="17">
        <v>-1</v>
      </c>
      <c r="R58" s="17">
        <f>X58*'PAG100 FE GE'!$E$2+Y58*'PAG100 FE GE'!$E$3+Z58*'PAG100 FE GE'!$E$4</f>
        <v>-301.89999999999998</v>
      </c>
      <c r="S58" s="17">
        <f>X58*'PAG20 FE GE'!$E$2+Y58*'PAG20 FE GE'!$E$3+Z58*'PAG20 FE GE'!$E$4</f>
        <v>-355.2</v>
      </c>
      <c r="T58" s="17">
        <f>X58*'PAG100 FE GE'!$D$2+Y58*'PAG100 FE GE'!$D$3+Z58*'PAG100 FE GE'!$D$4</f>
        <v>-294</v>
      </c>
      <c r="U58" s="17">
        <f>X58*'PAG20 FE GE'!$D$2+Y58*'PAG20 FE GE'!$D$3+Z58*'PAG20 FE GE'!$D$4</f>
        <v>-350</v>
      </c>
      <c r="V58" s="17">
        <f>X58*'PAG100 FE GE'!$C$2+Y58*'PAG100 FE GE'!$C$3+Z58*'PAG100 FE GE'!$C$4</f>
        <v>-324</v>
      </c>
      <c r="W58" s="17">
        <f>X58*'PAG20 FE GE'!$C$2+Y58*'PAG20 FE GE'!$C$3+Z58*'PAG20 FE GE'!$C$4</f>
        <v>-362</v>
      </c>
      <c r="X58" s="17">
        <v>-1</v>
      </c>
      <c r="Y58" s="17">
        <v>-1</v>
      </c>
      <c r="Z58" s="17">
        <v>-1</v>
      </c>
      <c r="AA58" s="17">
        <f>AG58*'PAG100 FE GE'!$E$2+AH58*'PAG100 FE GE'!$E$3+AI58*'PAG100 FE GE'!$E$4</f>
        <v>-301.89999999999998</v>
      </c>
      <c r="AB58" s="17">
        <f>AG58*'PAG20 FE GE'!$E$2+AH58*'PAG20 FE GE'!$E$3+AI58*'PAG20 FE GE'!$E$4</f>
        <v>-355.2</v>
      </c>
      <c r="AC58" s="17">
        <f>AG58*'PAG100 FE GE'!$D$2+AH58*'PAG100 FE GE'!$D$3+AI58*'PAG100 FE GE'!$D$4</f>
        <v>-294</v>
      </c>
      <c r="AD58" s="17">
        <f>AG58*'PAG20 FE GE'!$D$2+AH58*'PAG20 FE GE'!$D$3+AI58*'PAG20 FE GE'!$D$4</f>
        <v>-350</v>
      </c>
      <c r="AE58" s="17">
        <f>AG58*'PAG100 FE GE'!$C$2+AH58*'PAG100 FE GE'!$C$3+AI58*'PAG100 FE GE'!$C$4</f>
        <v>-324</v>
      </c>
      <c r="AF58" s="17">
        <f>AG58*'PAG20 FE GE'!$C$2+AH58*'PAG20 FE GE'!$C$3+AI58*'PAG20 FE GE'!$C$4</f>
        <v>-362</v>
      </c>
      <c r="AG58" s="17">
        <v>-1</v>
      </c>
      <c r="AH58" s="17">
        <v>-1</v>
      </c>
      <c r="AI58" s="17">
        <v>-1</v>
      </c>
      <c r="AJ58" s="17">
        <v>-1</v>
      </c>
      <c r="AK58" t="s">
        <v>424</v>
      </c>
      <c r="AL58" t="s">
        <v>790</v>
      </c>
    </row>
    <row r="59" spans="1:38" ht="15.75" thickBot="1" x14ac:dyDescent="0.3">
      <c r="A59" s="4" t="s">
        <v>2</v>
      </c>
      <c r="B59" s="7" t="s">
        <v>14</v>
      </c>
      <c r="C59" s="5" t="s">
        <v>92</v>
      </c>
      <c r="D59" s="6" t="s">
        <v>7</v>
      </c>
      <c r="E59" s="6" t="str">
        <f t="shared" si="1"/>
        <v>Pesado de Passageiros M3: III : GNC : E1</v>
      </c>
      <c r="F59" s="6" t="s">
        <v>56</v>
      </c>
      <c r="G59" s="6" t="s">
        <v>96</v>
      </c>
      <c r="H59" s="9">
        <f>IF(G59="MJ",INDEX(Tabela1[Energia (MJ/Qtd.)],MATCH(C59,Tabela1[Fuel],0)),IF(G59="GJ",INDEX(Tabela1[Energia (GJ/Qtd.)2],MATCH(C59,Tabela1[Fuel],0)),"XXX"))</f>
        <v>3.7521600000000002E-2</v>
      </c>
      <c r="I59" s="17">
        <v>-1</v>
      </c>
      <c r="J59" s="17">
        <v>-1</v>
      </c>
      <c r="K59" s="17">
        <v>-1</v>
      </c>
      <c r="L59" s="17">
        <v>-1</v>
      </c>
      <c r="M59" s="17">
        <v>-1</v>
      </c>
      <c r="N59" s="17">
        <v>-1</v>
      </c>
      <c r="O59" s="17">
        <v>-1</v>
      </c>
      <c r="P59" s="17">
        <v>-1</v>
      </c>
      <c r="Q59" s="17">
        <v>-1</v>
      </c>
      <c r="R59" s="17">
        <f>X59*'PAG100 FE GE'!$E$2+Y59*'PAG100 FE GE'!$E$3+Z59*'PAG100 FE GE'!$E$4</f>
        <v>-301.89999999999998</v>
      </c>
      <c r="S59" s="17">
        <f>X59*'PAG20 FE GE'!$E$2+Y59*'PAG20 FE GE'!$E$3+Z59*'PAG20 FE GE'!$E$4</f>
        <v>-355.2</v>
      </c>
      <c r="T59" s="17">
        <f>X59*'PAG100 FE GE'!$D$2+Y59*'PAG100 FE GE'!$D$3+Z59*'PAG100 FE GE'!$D$4</f>
        <v>-294</v>
      </c>
      <c r="U59" s="17">
        <f>X59*'PAG20 FE GE'!$D$2+Y59*'PAG20 FE GE'!$D$3+Z59*'PAG20 FE GE'!$D$4</f>
        <v>-350</v>
      </c>
      <c r="V59" s="17">
        <f>X59*'PAG100 FE GE'!$C$2+Y59*'PAG100 FE GE'!$C$3+Z59*'PAG100 FE GE'!$C$4</f>
        <v>-324</v>
      </c>
      <c r="W59" s="17">
        <f>X59*'PAG20 FE GE'!$C$2+Y59*'PAG20 FE GE'!$C$3+Z59*'PAG20 FE GE'!$C$4</f>
        <v>-362</v>
      </c>
      <c r="X59" s="17">
        <v>-1</v>
      </c>
      <c r="Y59" s="17">
        <v>-1</v>
      </c>
      <c r="Z59" s="17">
        <v>-1</v>
      </c>
      <c r="AA59" s="17">
        <f>AG59*'PAG100 FE GE'!$E$2+AH59*'PAG100 FE GE'!$E$3+AI59*'PAG100 FE GE'!$E$4</f>
        <v>-301.89999999999998</v>
      </c>
      <c r="AB59" s="17">
        <f>AG59*'PAG20 FE GE'!$E$2+AH59*'PAG20 FE GE'!$E$3+AI59*'PAG20 FE GE'!$E$4</f>
        <v>-355.2</v>
      </c>
      <c r="AC59" s="17">
        <f>AG59*'PAG100 FE GE'!$D$2+AH59*'PAG100 FE GE'!$D$3+AI59*'PAG100 FE GE'!$D$4</f>
        <v>-294</v>
      </c>
      <c r="AD59" s="17">
        <f>AG59*'PAG20 FE GE'!$D$2+AH59*'PAG20 FE GE'!$D$3+AI59*'PAG20 FE GE'!$D$4</f>
        <v>-350</v>
      </c>
      <c r="AE59" s="17">
        <f>AG59*'PAG100 FE GE'!$C$2+AH59*'PAG100 FE GE'!$C$3+AI59*'PAG100 FE GE'!$C$4</f>
        <v>-324</v>
      </c>
      <c r="AF59" s="17">
        <f>AG59*'PAG20 FE GE'!$C$2+AH59*'PAG20 FE GE'!$C$3+AI59*'PAG20 FE GE'!$C$4</f>
        <v>-362</v>
      </c>
      <c r="AG59" s="17">
        <v>-1</v>
      </c>
      <c r="AH59" s="17">
        <v>-1</v>
      </c>
      <c r="AI59" s="17">
        <v>-1</v>
      </c>
      <c r="AJ59" s="17">
        <v>-1</v>
      </c>
      <c r="AK59" t="s">
        <v>424</v>
      </c>
      <c r="AL59" t="s">
        <v>790</v>
      </c>
    </row>
    <row r="60" spans="1:38" ht="15.75" thickBot="1" x14ac:dyDescent="0.3">
      <c r="A60" s="4" t="s">
        <v>2</v>
      </c>
      <c r="B60" s="7" t="s">
        <v>14</v>
      </c>
      <c r="C60" s="5" t="s">
        <v>92</v>
      </c>
      <c r="D60" s="6" t="s">
        <v>9</v>
      </c>
      <c r="E60" s="6" t="str">
        <f t="shared" si="1"/>
        <v>Pesado de Passageiros M3: III : GNC : E2</v>
      </c>
      <c r="F60" s="6" t="s">
        <v>56</v>
      </c>
      <c r="G60" s="6" t="s">
        <v>96</v>
      </c>
      <c r="H60" s="9">
        <f>IF(G60="MJ",INDEX(Tabela1[Energia (MJ/Qtd.)],MATCH(C60,Tabela1[Fuel],0)),IF(G60="GJ",INDEX(Tabela1[Energia (GJ/Qtd.)2],MATCH(C60,Tabela1[Fuel],0)),"XXX"))</f>
        <v>3.7521600000000002E-2</v>
      </c>
      <c r="I60" s="17">
        <v>-1</v>
      </c>
      <c r="J60" s="17">
        <v>-1</v>
      </c>
      <c r="K60" s="17">
        <v>-1</v>
      </c>
      <c r="L60" s="17">
        <v>-1</v>
      </c>
      <c r="M60" s="17">
        <v>-1</v>
      </c>
      <c r="N60" s="17">
        <v>-1</v>
      </c>
      <c r="O60" s="17">
        <v>-1</v>
      </c>
      <c r="P60" s="17">
        <v>-1</v>
      </c>
      <c r="Q60" s="17">
        <v>-1</v>
      </c>
      <c r="R60" s="17">
        <f>X60*'PAG100 FE GE'!$E$2+Y60*'PAG100 FE GE'!$E$3+Z60*'PAG100 FE GE'!$E$4</f>
        <v>-301.89999999999998</v>
      </c>
      <c r="S60" s="17">
        <f>X60*'PAG20 FE GE'!$E$2+Y60*'PAG20 FE GE'!$E$3+Z60*'PAG20 FE GE'!$E$4</f>
        <v>-355.2</v>
      </c>
      <c r="T60" s="17">
        <f>X60*'PAG100 FE GE'!$D$2+Y60*'PAG100 FE GE'!$D$3+Z60*'PAG100 FE GE'!$D$4</f>
        <v>-294</v>
      </c>
      <c r="U60" s="17">
        <f>X60*'PAG20 FE GE'!$D$2+Y60*'PAG20 FE GE'!$D$3+Z60*'PAG20 FE GE'!$D$4</f>
        <v>-350</v>
      </c>
      <c r="V60" s="17">
        <f>X60*'PAG100 FE GE'!$C$2+Y60*'PAG100 FE GE'!$C$3+Z60*'PAG100 FE GE'!$C$4</f>
        <v>-324</v>
      </c>
      <c r="W60" s="17">
        <f>X60*'PAG20 FE GE'!$C$2+Y60*'PAG20 FE GE'!$C$3+Z60*'PAG20 FE GE'!$C$4</f>
        <v>-362</v>
      </c>
      <c r="X60" s="17">
        <v>-1</v>
      </c>
      <c r="Y60" s="17">
        <v>-1</v>
      </c>
      <c r="Z60" s="17">
        <v>-1</v>
      </c>
      <c r="AA60" s="17">
        <f>AG60*'PAG100 FE GE'!$E$2+AH60*'PAG100 FE GE'!$E$3+AI60*'PAG100 FE GE'!$E$4</f>
        <v>-301.89999999999998</v>
      </c>
      <c r="AB60" s="17">
        <f>AG60*'PAG20 FE GE'!$E$2+AH60*'PAG20 FE GE'!$E$3+AI60*'PAG20 FE GE'!$E$4</f>
        <v>-355.2</v>
      </c>
      <c r="AC60" s="17">
        <f>AG60*'PAG100 FE GE'!$D$2+AH60*'PAG100 FE GE'!$D$3+AI60*'PAG100 FE GE'!$D$4</f>
        <v>-294</v>
      </c>
      <c r="AD60" s="17">
        <f>AG60*'PAG20 FE GE'!$D$2+AH60*'PAG20 FE GE'!$D$3+AI60*'PAG20 FE GE'!$D$4</f>
        <v>-350</v>
      </c>
      <c r="AE60" s="17">
        <f>AG60*'PAG100 FE GE'!$C$2+AH60*'PAG100 FE GE'!$C$3+AI60*'PAG100 FE GE'!$C$4</f>
        <v>-324</v>
      </c>
      <c r="AF60" s="17">
        <f>AG60*'PAG20 FE GE'!$C$2+AH60*'PAG20 FE GE'!$C$3+AI60*'PAG20 FE GE'!$C$4</f>
        <v>-362</v>
      </c>
      <c r="AG60" s="17">
        <v>-1</v>
      </c>
      <c r="AH60" s="17">
        <v>-1</v>
      </c>
      <c r="AI60" s="17">
        <v>-1</v>
      </c>
      <c r="AJ60" s="17">
        <v>-1</v>
      </c>
      <c r="AK60" t="s">
        <v>424</v>
      </c>
      <c r="AL60" t="s">
        <v>790</v>
      </c>
    </row>
    <row r="61" spans="1:38" ht="15.75" thickBot="1" x14ac:dyDescent="0.3">
      <c r="A61" s="4" t="s">
        <v>2</v>
      </c>
      <c r="B61" s="7" t="s">
        <v>14</v>
      </c>
      <c r="C61" s="5" t="s">
        <v>92</v>
      </c>
      <c r="D61" s="6" t="s">
        <v>10</v>
      </c>
      <c r="E61" s="6" t="str">
        <f t="shared" si="1"/>
        <v>Pesado de Passageiros M3: III : GNC : E3</v>
      </c>
      <c r="F61" s="6" t="s">
        <v>56</v>
      </c>
      <c r="G61" s="6" t="s">
        <v>96</v>
      </c>
      <c r="H61" s="9">
        <f>IF(G61="MJ",INDEX(Tabela1[Energia (MJ/Qtd.)],MATCH(C61,Tabela1[Fuel],0)),IF(G61="GJ",INDEX(Tabela1[Energia (GJ/Qtd.)2],MATCH(C61,Tabela1[Fuel],0)),"XXX"))</f>
        <v>3.7521600000000002E-2</v>
      </c>
      <c r="I61" s="17">
        <v>-1</v>
      </c>
      <c r="J61" s="17">
        <v>-1</v>
      </c>
      <c r="K61" s="17">
        <v>-1</v>
      </c>
      <c r="L61" s="17">
        <v>-1</v>
      </c>
      <c r="M61" s="17">
        <v>-1</v>
      </c>
      <c r="N61" s="17">
        <v>-1</v>
      </c>
      <c r="O61" s="17">
        <v>-1</v>
      </c>
      <c r="P61" s="17">
        <v>-1</v>
      </c>
      <c r="Q61" s="17">
        <v>-1</v>
      </c>
      <c r="R61" s="17">
        <f>X61*'PAG100 FE GE'!$E$2+Y61*'PAG100 FE GE'!$E$3+Z61*'PAG100 FE GE'!$E$4</f>
        <v>-301.89999999999998</v>
      </c>
      <c r="S61" s="17">
        <f>X61*'PAG20 FE GE'!$E$2+Y61*'PAG20 FE GE'!$E$3+Z61*'PAG20 FE GE'!$E$4</f>
        <v>-355.2</v>
      </c>
      <c r="T61" s="17">
        <f>X61*'PAG100 FE GE'!$D$2+Y61*'PAG100 FE GE'!$D$3+Z61*'PAG100 FE GE'!$D$4</f>
        <v>-294</v>
      </c>
      <c r="U61" s="17">
        <f>X61*'PAG20 FE GE'!$D$2+Y61*'PAG20 FE GE'!$D$3+Z61*'PAG20 FE GE'!$D$4</f>
        <v>-350</v>
      </c>
      <c r="V61" s="17">
        <f>X61*'PAG100 FE GE'!$C$2+Y61*'PAG100 FE GE'!$C$3+Z61*'PAG100 FE GE'!$C$4</f>
        <v>-324</v>
      </c>
      <c r="W61" s="17">
        <f>X61*'PAG20 FE GE'!$C$2+Y61*'PAG20 FE GE'!$C$3+Z61*'PAG20 FE GE'!$C$4</f>
        <v>-362</v>
      </c>
      <c r="X61" s="17">
        <v>-1</v>
      </c>
      <c r="Y61" s="17">
        <v>-1</v>
      </c>
      <c r="Z61" s="17">
        <v>-1</v>
      </c>
      <c r="AA61" s="17">
        <f>AG61*'PAG100 FE GE'!$E$2+AH61*'PAG100 FE GE'!$E$3+AI61*'PAG100 FE GE'!$E$4</f>
        <v>-301.89999999999998</v>
      </c>
      <c r="AB61" s="17">
        <f>AG61*'PAG20 FE GE'!$E$2+AH61*'PAG20 FE GE'!$E$3+AI61*'PAG20 FE GE'!$E$4</f>
        <v>-355.2</v>
      </c>
      <c r="AC61" s="17">
        <f>AG61*'PAG100 FE GE'!$D$2+AH61*'PAG100 FE GE'!$D$3+AI61*'PAG100 FE GE'!$D$4</f>
        <v>-294</v>
      </c>
      <c r="AD61" s="17">
        <f>AG61*'PAG20 FE GE'!$D$2+AH61*'PAG20 FE GE'!$D$3+AI61*'PAG20 FE GE'!$D$4</f>
        <v>-350</v>
      </c>
      <c r="AE61" s="17">
        <f>AG61*'PAG100 FE GE'!$C$2+AH61*'PAG100 FE GE'!$C$3+AI61*'PAG100 FE GE'!$C$4</f>
        <v>-324</v>
      </c>
      <c r="AF61" s="17">
        <f>AG61*'PAG20 FE GE'!$C$2+AH61*'PAG20 FE GE'!$C$3+AI61*'PAG20 FE GE'!$C$4</f>
        <v>-362</v>
      </c>
      <c r="AG61" s="17">
        <v>-1</v>
      </c>
      <c r="AH61" s="17">
        <v>-1</v>
      </c>
      <c r="AI61" s="17">
        <v>-1</v>
      </c>
      <c r="AJ61" s="17">
        <v>-1</v>
      </c>
      <c r="AK61" t="s">
        <v>424</v>
      </c>
      <c r="AL61" t="s">
        <v>790</v>
      </c>
    </row>
    <row r="62" spans="1:38" ht="15.75" thickBot="1" x14ac:dyDescent="0.3">
      <c r="A62" s="4" t="s">
        <v>2</v>
      </c>
      <c r="B62" s="7" t="s">
        <v>14</v>
      </c>
      <c r="C62" s="5" t="s">
        <v>92</v>
      </c>
      <c r="D62" s="6" t="s">
        <v>4</v>
      </c>
      <c r="E62" s="6" t="str">
        <f t="shared" si="1"/>
        <v>Pesado de Passageiros M3: III : GNC : E4</v>
      </c>
      <c r="F62" s="6" t="s">
        <v>56</v>
      </c>
      <c r="G62" s="6" t="s">
        <v>96</v>
      </c>
      <c r="H62" s="9">
        <f>IF(G62="MJ",INDEX(Tabela1[Energia (MJ/Qtd.)],MATCH(C62,Tabela1[Fuel],0)),IF(G62="GJ",INDEX(Tabela1[Energia (GJ/Qtd.)2],MATCH(C62,Tabela1[Fuel],0)),"XXX"))</f>
        <v>3.7521600000000002E-2</v>
      </c>
      <c r="I62" s="17">
        <v>-1</v>
      </c>
      <c r="J62" s="17">
        <v>-1</v>
      </c>
      <c r="K62" s="17">
        <v>-1</v>
      </c>
      <c r="L62" s="17">
        <v>-1</v>
      </c>
      <c r="M62" s="17">
        <v>-1</v>
      </c>
      <c r="N62" s="17">
        <v>-1</v>
      </c>
      <c r="O62" s="17">
        <v>-1</v>
      </c>
      <c r="P62" s="17">
        <v>-1</v>
      </c>
      <c r="Q62" s="17">
        <v>-1</v>
      </c>
      <c r="R62" s="17">
        <f>X62*'PAG100 FE GE'!$E$2+Y62*'PAG100 FE GE'!$E$3+Z62*'PAG100 FE GE'!$E$4</f>
        <v>-301.89999999999998</v>
      </c>
      <c r="S62" s="17">
        <f>X62*'PAG20 FE GE'!$E$2+Y62*'PAG20 FE GE'!$E$3+Z62*'PAG20 FE GE'!$E$4</f>
        <v>-355.2</v>
      </c>
      <c r="T62" s="17">
        <f>X62*'PAG100 FE GE'!$D$2+Y62*'PAG100 FE GE'!$D$3+Z62*'PAG100 FE GE'!$D$4</f>
        <v>-294</v>
      </c>
      <c r="U62" s="17">
        <f>X62*'PAG20 FE GE'!$D$2+Y62*'PAG20 FE GE'!$D$3+Z62*'PAG20 FE GE'!$D$4</f>
        <v>-350</v>
      </c>
      <c r="V62" s="17">
        <f>X62*'PAG100 FE GE'!$C$2+Y62*'PAG100 FE GE'!$C$3+Z62*'PAG100 FE GE'!$C$4</f>
        <v>-324</v>
      </c>
      <c r="W62" s="17">
        <f>X62*'PAG20 FE GE'!$C$2+Y62*'PAG20 FE GE'!$C$3+Z62*'PAG20 FE GE'!$C$4</f>
        <v>-362</v>
      </c>
      <c r="X62" s="17">
        <v>-1</v>
      </c>
      <c r="Y62" s="17">
        <v>-1</v>
      </c>
      <c r="Z62" s="17">
        <v>-1</v>
      </c>
      <c r="AA62" s="17">
        <f>AG62*'PAG100 FE GE'!$E$2+AH62*'PAG100 FE GE'!$E$3+AI62*'PAG100 FE GE'!$E$4</f>
        <v>-301.89999999999998</v>
      </c>
      <c r="AB62" s="17">
        <f>AG62*'PAG20 FE GE'!$E$2+AH62*'PAG20 FE GE'!$E$3+AI62*'PAG20 FE GE'!$E$4</f>
        <v>-355.2</v>
      </c>
      <c r="AC62" s="17">
        <f>AG62*'PAG100 FE GE'!$D$2+AH62*'PAG100 FE GE'!$D$3+AI62*'PAG100 FE GE'!$D$4</f>
        <v>-294</v>
      </c>
      <c r="AD62" s="17">
        <f>AG62*'PAG20 FE GE'!$D$2+AH62*'PAG20 FE GE'!$D$3+AI62*'PAG20 FE GE'!$D$4</f>
        <v>-350</v>
      </c>
      <c r="AE62" s="17">
        <f>AG62*'PAG100 FE GE'!$C$2+AH62*'PAG100 FE GE'!$C$3+AI62*'PAG100 FE GE'!$C$4</f>
        <v>-324</v>
      </c>
      <c r="AF62" s="17">
        <f>AG62*'PAG20 FE GE'!$C$2+AH62*'PAG20 FE GE'!$C$3+AI62*'PAG20 FE GE'!$C$4</f>
        <v>-362</v>
      </c>
      <c r="AG62" s="17">
        <v>-1</v>
      </c>
      <c r="AH62" s="17">
        <v>-1</v>
      </c>
      <c r="AI62" s="17">
        <v>-1</v>
      </c>
      <c r="AJ62" s="17">
        <v>-1</v>
      </c>
      <c r="AK62" t="s">
        <v>424</v>
      </c>
      <c r="AL62" t="s">
        <v>790</v>
      </c>
    </row>
    <row r="63" spans="1:38" ht="15.75" thickBot="1" x14ac:dyDescent="0.3">
      <c r="A63" s="4" t="s">
        <v>2</v>
      </c>
      <c r="B63" s="7" t="s">
        <v>14</v>
      </c>
      <c r="C63" s="5" t="s">
        <v>92</v>
      </c>
      <c r="D63" s="6" t="s">
        <v>5</v>
      </c>
      <c r="E63" s="6" t="str">
        <f t="shared" si="1"/>
        <v>Pesado de Passageiros M3: III : GNC : E5</v>
      </c>
      <c r="F63" s="6" t="s">
        <v>56</v>
      </c>
      <c r="G63" s="6" t="s">
        <v>96</v>
      </c>
      <c r="H63" s="9">
        <f>IF(G63="MJ",INDEX(Tabela1[Energia (MJ/Qtd.)],MATCH(C63,Tabela1[Fuel],0)),IF(G63="GJ",INDEX(Tabela1[Energia (GJ/Qtd.)2],MATCH(C63,Tabela1[Fuel],0)),"XXX"))</f>
        <v>3.7521600000000002E-2</v>
      </c>
      <c r="I63" s="17">
        <v>-1</v>
      </c>
      <c r="J63" s="17">
        <v>-1</v>
      </c>
      <c r="K63" s="17">
        <v>-1</v>
      </c>
      <c r="L63" s="17">
        <v>-1</v>
      </c>
      <c r="M63" s="17">
        <v>-1</v>
      </c>
      <c r="N63" s="17">
        <v>-1</v>
      </c>
      <c r="O63" s="17">
        <v>-1</v>
      </c>
      <c r="P63" s="17">
        <v>-1</v>
      </c>
      <c r="Q63" s="17">
        <v>-1</v>
      </c>
      <c r="R63" s="17">
        <f>X63*'PAG100 FE GE'!$E$2+Y63*'PAG100 FE GE'!$E$3+Z63*'PAG100 FE GE'!$E$4</f>
        <v>-301.89999999999998</v>
      </c>
      <c r="S63" s="17">
        <f>X63*'PAG20 FE GE'!$E$2+Y63*'PAG20 FE GE'!$E$3+Z63*'PAG20 FE GE'!$E$4</f>
        <v>-355.2</v>
      </c>
      <c r="T63" s="17">
        <f>X63*'PAG100 FE GE'!$D$2+Y63*'PAG100 FE GE'!$D$3+Z63*'PAG100 FE GE'!$D$4</f>
        <v>-294</v>
      </c>
      <c r="U63" s="17">
        <f>X63*'PAG20 FE GE'!$D$2+Y63*'PAG20 FE GE'!$D$3+Z63*'PAG20 FE GE'!$D$4</f>
        <v>-350</v>
      </c>
      <c r="V63" s="17">
        <f>X63*'PAG100 FE GE'!$C$2+Y63*'PAG100 FE GE'!$C$3+Z63*'PAG100 FE GE'!$C$4</f>
        <v>-324</v>
      </c>
      <c r="W63" s="17">
        <f>X63*'PAG20 FE GE'!$C$2+Y63*'PAG20 FE GE'!$C$3+Z63*'PAG20 FE GE'!$C$4</f>
        <v>-362</v>
      </c>
      <c r="X63" s="17">
        <v>-1</v>
      </c>
      <c r="Y63" s="17">
        <v>-1</v>
      </c>
      <c r="Z63" s="17">
        <v>-1</v>
      </c>
      <c r="AA63" s="17">
        <f>AG63*'PAG100 FE GE'!$E$2+AH63*'PAG100 FE GE'!$E$3+AI63*'PAG100 FE GE'!$E$4</f>
        <v>-301.89999999999998</v>
      </c>
      <c r="AB63" s="17">
        <f>AG63*'PAG20 FE GE'!$E$2+AH63*'PAG20 FE GE'!$E$3+AI63*'PAG20 FE GE'!$E$4</f>
        <v>-355.2</v>
      </c>
      <c r="AC63" s="17">
        <f>AG63*'PAG100 FE GE'!$D$2+AH63*'PAG100 FE GE'!$D$3+AI63*'PAG100 FE GE'!$D$4</f>
        <v>-294</v>
      </c>
      <c r="AD63" s="17">
        <f>AG63*'PAG20 FE GE'!$D$2+AH63*'PAG20 FE GE'!$D$3+AI63*'PAG20 FE GE'!$D$4</f>
        <v>-350</v>
      </c>
      <c r="AE63" s="17">
        <f>AG63*'PAG100 FE GE'!$C$2+AH63*'PAG100 FE GE'!$C$3+AI63*'PAG100 FE GE'!$C$4</f>
        <v>-324</v>
      </c>
      <c r="AF63" s="17">
        <f>AG63*'PAG20 FE GE'!$C$2+AH63*'PAG20 FE GE'!$C$3+AI63*'PAG20 FE GE'!$C$4</f>
        <v>-362</v>
      </c>
      <c r="AG63" s="17">
        <v>-1</v>
      </c>
      <c r="AH63" s="17">
        <v>-1</v>
      </c>
      <c r="AI63" s="17">
        <v>-1</v>
      </c>
      <c r="AJ63" s="17">
        <v>-1</v>
      </c>
      <c r="AK63" t="s">
        <v>424</v>
      </c>
      <c r="AL63" t="s">
        <v>790</v>
      </c>
    </row>
    <row r="64" spans="1:38" ht="15.75" thickBot="1" x14ac:dyDescent="0.3">
      <c r="A64" s="4" t="s">
        <v>2</v>
      </c>
      <c r="B64" s="7" t="s">
        <v>14</v>
      </c>
      <c r="C64" s="5" t="s">
        <v>92</v>
      </c>
      <c r="D64" s="6" t="s">
        <v>6</v>
      </c>
      <c r="E64" s="6" t="str">
        <f t="shared" si="1"/>
        <v>Pesado de Passageiros M3: III : GNC : E6</v>
      </c>
      <c r="F64" s="6" t="s">
        <v>56</v>
      </c>
      <c r="G64" s="6" t="s">
        <v>96</v>
      </c>
      <c r="H64" s="9">
        <f>IF(G64="MJ",INDEX(Tabela1[Energia (MJ/Qtd.)],MATCH(C64,Tabela1[Fuel],0)),IF(G64="GJ",INDEX(Tabela1[Energia (GJ/Qtd.)2],MATCH(C64,Tabela1[Fuel],0)),"XXX"))</f>
        <v>3.7521600000000002E-2</v>
      </c>
      <c r="I64" s="17">
        <v>-1</v>
      </c>
      <c r="J64" s="17">
        <v>-1</v>
      </c>
      <c r="K64" s="17">
        <v>-1</v>
      </c>
      <c r="L64" s="17">
        <v>-1</v>
      </c>
      <c r="M64" s="17">
        <v>-1</v>
      </c>
      <c r="N64" s="17">
        <v>-1</v>
      </c>
      <c r="O64" s="17">
        <v>-1</v>
      </c>
      <c r="P64" s="17">
        <v>-1</v>
      </c>
      <c r="Q64" s="17">
        <v>-1</v>
      </c>
      <c r="R64" s="17">
        <f>X64*'PAG100 FE GE'!$E$2+Y64*'PAG100 FE GE'!$E$3+Z64*'PAG100 FE GE'!$E$4</f>
        <v>-301.89999999999998</v>
      </c>
      <c r="S64" s="17">
        <f>X64*'PAG20 FE GE'!$E$2+Y64*'PAG20 FE GE'!$E$3+Z64*'PAG20 FE GE'!$E$4</f>
        <v>-355.2</v>
      </c>
      <c r="T64" s="17">
        <f>X64*'PAG100 FE GE'!$D$2+Y64*'PAG100 FE GE'!$D$3+Z64*'PAG100 FE GE'!$D$4</f>
        <v>-294</v>
      </c>
      <c r="U64" s="17">
        <f>X64*'PAG20 FE GE'!$D$2+Y64*'PAG20 FE GE'!$D$3+Z64*'PAG20 FE GE'!$D$4</f>
        <v>-350</v>
      </c>
      <c r="V64" s="17">
        <f>X64*'PAG100 FE GE'!$C$2+Y64*'PAG100 FE GE'!$C$3+Z64*'PAG100 FE GE'!$C$4</f>
        <v>-324</v>
      </c>
      <c r="W64" s="17">
        <f>X64*'PAG20 FE GE'!$C$2+Y64*'PAG20 FE GE'!$C$3+Z64*'PAG20 FE GE'!$C$4</f>
        <v>-362</v>
      </c>
      <c r="X64" s="17">
        <v>-1</v>
      </c>
      <c r="Y64" s="17">
        <v>-1</v>
      </c>
      <c r="Z64" s="17">
        <v>-1</v>
      </c>
      <c r="AA64" s="17">
        <f>AG64*'PAG100 FE GE'!$E$2+AH64*'PAG100 FE GE'!$E$3+AI64*'PAG100 FE GE'!$E$4</f>
        <v>-301.89999999999998</v>
      </c>
      <c r="AB64" s="17">
        <f>AG64*'PAG20 FE GE'!$E$2+AH64*'PAG20 FE GE'!$E$3+AI64*'PAG20 FE GE'!$E$4</f>
        <v>-355.2</v>
      </c>
      <c r="AC64" s="17">
        <f>AG64*'PAG100 FE GE'!$D$2+AH64*'PAG100 FE GE'!$D$3+AI64*'PAG100 FE GE'!$D$4</f>
        <v>-294</v>
      </c>
      <c r="AD64" s="17">
        <f>AG64*'PAG20 FE GE'!$D$2+AH64*'PAG20 FE GE'!$D$3+AI64*'PAG20 FE GE'!$D$4</f>
        <v>-350</v>
      </c>
      <c r="AE64" s="17">
        <f>AG64*'PAG100 FE GE'!$C$2+AH64*'PAG100 FE GE'!$C$3+AI64*'PAG100 FE GE'!$C$4</f>
        <v>-324</v>
      </c>
      <c r="AF64" s="17">
        <f>AG64*'PAG20 FE GE'!$C$2+AH64*'PAG20 FE GE'!$C$3+AI64*'PAG20 FE GE'!$C$4</f>
        <v>-362</v>
      </c>
      <c r="AG64" s="17">
        <v>-1</v>
      </c>
      <c r="AH64" s="17">
        <v>-1</v>
      </c>
      <c r="AI64" s="17">
        <v>-1</v>
      </c>
      <c r="AJ64" s="17">
        <v>-1</v>
      </c>
      <c r="AK64" t="s">
        <v>424</v>
      </c>
      <c r="AL64" t="s">
        <v>790</v>
      </c>
    </row>
    <row r="65" spans="1:38" ht="15.75" thickBot="1" x14ac:dyDescent="0.3">
      <c r="A65" s="4" t="s">
        <v>2</v>
      </c>
      <c r="B65" s="7" t="s">
        <v>14</v>
      </c>
      <c r="C65" s="5" t="s">
        <v>92</v>
      </c>
      <c r="D65" s="6" t="s">
        <v>81</v>
      </c>
      <c r="E65" s="6" t="str">
        <f t="shared" si="1"/>
        <v>Pesado de Passageiros M3: III : GNC : E6 D/E E7</v>
      </c>
      <c r="F65" s="6" t="s">
        <v>56</v>
      </c>
      <c r="G65" s="6" t="s">
        <v>96</v>
      </c>
      <c r="H65" s="9">
        <f>IF(G65="MJ",INDEX(Tabela1[Energia (MJ/Qtd.)],MATCH(C65,Tabela1[Fuel],0)),IF(G65="GJ",INDEX(Tabela1[Energia (GJ/Qtd.)2],MATCH(C65,Tabela1[Fuel],0)),"XXX"))</f>
        <v>3.7521600000000002E-2</v>
      </c>
      <c r="I65" s="17">
        <v>-1</v>
      </c>
      <c r="J65" s="17">
        <v>-1</v>
      </c>
      <c r="K65" s="17">
        <v>-1</v>
      </c>
      <c r="L65" s="17">
        <v>-1</v>
      </c>
      <c r="M65" s="17">
        <v>-1</v>
      </c>
      <c r="N65" s="17">
        <v>-1</v>
      </c>
      <c r="O65" s="17">
        <v>-1</v>
      </c>
      <c r="P65" s="17">
        <v>-1</v>
      </c>
      <c r="Q65" s="17">
        <v>-1</v>
      </c>
      <c r="R65" s="17">
        <f>X65*'PAG100 FE GE'!$E$2+Y65*'PAG100 FE GE'!$E$3+Z65*'PAG100 FE GE'!$E$4</f>
        <v>-301.89999999999998</v>
      </c>
      <c r="S65" s="17">
        <f>X65*'PAG20 FE GE'!$E$2+Y65*'PAG20 FE GE'!$E$3+Z65*'PAG20 FE GE'!$E$4</f>
        <v>-355.2</v>
      </c>
      <c r="T65" s="17">
        <f>X65*'PAG100 FE GE'!$D$2+Y65*'PAG100 FE GE'!$D$3+Z65*'PAG100 FE GE'!$D$4</f>
        <v>-294</v>
      </c>
      <c r="U65" s="17">
        <f>X65*'PAG20 FE GE'!$D$2+Y65*'PAG20 FE GE'!$D$3+Z65*'PAG20 FE GE'!$D$4</f>
        <v>-350</v>
      </c>
      <c r="V65" s="17">
        <f>X65*'PAG100 FE GE'!$C$2+Y65*'PAG100 FE GE'!$C$3+Z65*'PAG100 FE GE'!$C$4</f>
        <v>-324</v>
      </c>
      <c r="W65" s="17">
        <f>X65*'PAG20 FE GE'!$C$2+Y65*'PAG20 FE GE'!$C$3+Z65*'PAG20 FE GE'!$C$4</f>
        <v>-362</v>
      </c>
      <c r="X65" s="17">
        <v>-1</v>
      </c>
      <c r="Y65" s="17">
        <v>-1</v>
      </c>
      <c r="Z65" s="17">
        <v>-1</v>
      </c>
      <c r="AA65" s="17">
        <f>AG65*'PAG100 FE GE'!$E$2+AH65*'PAG100 FE GE'!$E$3+AI65*'PAG100 FE GE'!$E$4</f>
        <v>-301.89999999999998</v>
      </c>
      <c r="AB65" s="17">
        <f>AG65*'PAG20 FE GE'!$E$2+AH65*'PAG20 FE GE'!$E$3+AI65*'PAG20 FE GE'!$E$4</f>
        <v>-355.2</v>
      </c>
      <c r="AC65" s="17">
        <f>AG65*'PAG100 FE GE'!$D$2+AH65*'PAG100 FE GE'!$D$3+AI65*'PAG100 FE GE'!$D$4</f>
        <v>-294</v>
      </c>
      <c r="AD65" s="17">
        <f>AG65*'PAG20 FE GE'!$D$2+AH65*'PAG20 FE GE'!$D$3+AI65*'PAG20 FE GE'!$D$4</f>
        <v>-350</v>
      </c>
      <c r="AE65" s="17">
        <f>AG65*'PAG100 FE GE'!$C$2+AH65*'PAG100 FE GE'!$C$3+AI65*'PAG100 FE GE'!$C$4</f>
        <v>-324</v>
      </c>
      <c r="AF65" s="17">
        <f>AG65*'PAG20 FE GE'!$C$2+AH65*'PAG20 FE GE'!$C$3+AI65*'PAG20 FE GE'!$C$4</f>
        <v>-362</v>
      </c>
      <c r="AG65" s="17">
        <v>-1</v>
      </c>
      <c r="AH65" s="17">
        <v>-1</v>
      </c>
      <c r="AI65" s="17">
        <v>-1</v>
      </c>
      <c r="AJ65" s="17">
        <v>-1</v>
      </c>
      <c r="AK65" t="s">
        <v>424</v>
      </c>
      <c r="AL65" t="s">
        <v>790</v>
      </c>
    </row>
    <row r="66" spans="1:38" ht="15.75" thickBot="1" x14ac:dyDescent="0.3">
      <c r="A66" s="4" t="s">
        <v>2</v>
      </c>
      <c r="B66" s="7" t="s">
        <v>14</v>
      </c>
      <c r="C66" s="5" t="s">
        <v>95</v>
      </c>
      <c r="D66" s="6" t="s">
        <v>8</v>
      </c>
      <c r="E66" s="6" t="str">
        <f t="shared" si="1"/>
        <v>Pesado de Passageiros M3: III : GNL : E0</v>
      </c>
      <c r="F66" s="6" t="s">
        <v>57</v>
      </c>
      <c r="G66" s="6" t="s">
        <v>96</v>
      </c>
      <c r="H66" s="9">
        <f>IF(G66="MJ",INDEX(Tabela1[Energia (MJ/Qtd.)],MATCH(C66,Tabela1[Fuel],0)),IF(G66="GJ",INDEX(Tabela1[Energia (GJ/Qtd.)2],MATCH(C66,Tabela1[Fuel],0)),"XXX"))</f>
        <v>4.8000000000000001E-2</v>
      </c>
      <c r="I66" s="17">
        <v>-1</v>
      </c>
      <c r="J66" s="17">
        <v>-1</v>
      </c>
      <c r="K66" s="17">
        <v>-1</v>
      </c>
      <c r="L66" s="17">
        <v>-1</v>
      </c>
      <c r="M66" s="17">
        <v>-1</v>
      </c>
      <c r="N66" s="17">
        <v>-1</v>
      </c>
      <c r="O66" s="17">
        <v>-1</v>
      </c>
      <c r="P66" s="17">
        <v>-1</v>
      </c>
      <c r="Q66" s="17">
        <v>-1</v>
      </c>
      <c r="R66" s="17">
        <f>X66*'PAG100 FE GE'!$E$2+Y66*'PAG100 FE GE'!$E$3+Z66*'PAG100 FE GE'!$E$4</f>
        <v>-301.89999999999998</v>
      </c>
      <c r="S66" s="17">
        <f>X66*'PAG20 FE GE'!$E$2+Y66*'PAG20 FE GE'!$E$3+Z66*'PAG20 FE GE'!$E$4</f>
        <v>-355.2</v>
      </c>
      <c r="T66" s="17">
        <f>X66*'PAG100 FE GE'!$D$2+Y66*'PAG100 FE GE'!$D$3+Z66*'PAG100 FE GE'!$D$4</f>
        <v>-294</v>
      </c>
      <c r="U66" s="17">
        <f>X66*'PAG20 FE GE'!$D$2+Y66*'PAG20 FE GE'!$D$3+Z66*'PAG20 FE GE'!$D$4</f>
        <v>-350</v>
      </c>
      <c r="V66" s="17">
        <f>X66*'PAG100 FE GE'!$C$2+Y66*'PAG100 FE GE'!$C$3+Z66*'PAG100 FE GE'!$C$4</f>
        <v>-324</v>
      </c>
      <c r="W66" s="17">
        <f>X66*'PAG20 FE GE'!$C$2+Y66*'PAG20 FE GE'!$C$3+Z66*'PAG20 FE GE'!$C$4</f>
        <v>-362</v>
      </c>
      <c r="X66" s="17">
        <v>-1</v>
      </c>
      <c r="Y66" s="17">
        <v>-1</v>
      </c>
      <c r="Z66" s="17">
        <v>-1</v>
      </c>
      <c r="AA66" s="17">
        <f>AG66*'PAG100 FE GE'!$E$2+AH66*'PAG100 FE GE'!$E$3+AI66*'PAG100 FE GE'!$E$4</f>
        <v>-301.89999999999998</v>
      </c>
      <c r="AB66" s="17">
        <f>AG66*'PAG20 FE GE'!$E$2+AH66*'PAG20 FE GE'!$E$3+AI66*'PAG20 FE GE'!$E$4</f>
        <v>-355.2</v>
      </c>
      <c r="AC66" s="17">
        <f>AG66*'PAG100 FE GE'!$D$2+AH66*'PAG100 FE GE'!$D$3+AI66*'PAG100 FE GE'!$D$4</f>
        <v>-294</v>
      </c>
      <c r="AD66" s="17">
        <f>AG66*'PAG20 FE GE'!$D$2+AH66*'PAG20 FE GE'!$D$3+AI66*'PAG20 FE GE'!$D$4</f>
        <v>-350</v>
      </c>
      <c r="AE66" s="17">
        <f>AG66*'PAG100 FE GE'!$C$2+AH66*'PAG100 FE GE'!$C$3+AI66*'PAG100 FE GE'!$C$4</f>
        <v>-324</v>
      </c>
      <c r="AF66" s="17">
        <f>AG66*'PAG20 FE GE'!$C$2+AH66*'PAG20 FE GE'!$C$3+AI66*'PAG20 FE GE'!$C$4</f>
        <v>-362</v>
      </c>
      <c r="AG66" s="17">
        <v>-1</v>
      </c>
      <c r="AH66" s="17">
        <v>-1</v>
      </c>
      <c r="AI66" s="17">
        <v>-1</v>
      </c>
      <c r="AJ66" s="17">
        <v>-1</v>
      </c>
      <c r="AK66" t="s">
        <v>424</v>
      </c>
      <c r="AL66" t="s">
        <v>790</v>
      </c>
    </row>
    <row r="67" spans="1:38" ht="15.75" thickBot="1" x14ac:dyDescent="0.3">
      <c r="A67" s="4" t="s">
        <v>2</v>
      </c>
      <c r="B67" s="7" t="s">
        <v>14</v>
      </c>
      <c r="C67" s="5" t="s">
        <v>95</v>
      </c>
      <c r="D67" s="6" t="s">
        <v>7</v>
      </c>
      <c r="E67" s="6" t="str">
        <f t="shared" ref="E67:E136" si="35">A67&amp;": "&amp;B67&amp;" : "&amp;C67&amp;" : "&amp;D67</f>
        <v>Pesado de Passageiros M3: III : GNL : E1</v>
      </c>
      <c r="F67" s="6" t="s">
        <v>57</v>
      </c>
      <c r="G67" s="6" t="s">
        <v>96</v>
      </c>
      <c r="H67" s="9">
        <f>IF(G67="MJ",INDEX(Tabela1[Energia (MJ/Qtd.)],MATCH(C67,Tabela1[Fuel],0)),IF(G67="GJ",INDEX(Tabela1[Energia (GJ/Qtd.)2],MATCH(C67,Tabela1[Fuel],0)),"XXX"))</f>
        <v>4.8000000000000001E-2</v>
      </c>
      <c r="I67" s="17">
        <v>-1</v>
      </c>
      <c r="J67" s="17">
        <v>-1</v>
      </c>
      <c r="K67" s="17">
        <v>-1</v>
      </c>
      <c r="L67" s="17">
        <v>-1</v>
      </c>
      <c r="M67" s="17">
        <v>-1</v>
      </c>
      <c r="N67" s="17">
        <v>-1</v>
      </c>
      <c r="O67" s="17">
        <v>-1</v>
      </c>
      <c r="P67" s="17">
        <v>-1</v>
      </c>
      <c r="Q67" s="17">
        <v>-1</v>
      </c>
      <c r="R67" s="17">
        <f>X67*'PAG100 FE GE'!$E$2+Y67*'PAG100 FE GE'!$E$3+Z67*'PAG100 FE GE'!$E$4</f>
        <v>-301.89999999999998</v>
      </c>
      <c r="S67" s="17">
        <f>X67*'PAG20 FE GE'!$E$2+Y67*'PAG20 FE GE'!$E$3+Z67*'PAG20 FE GE'!$E$4</f>
        <v>-355.2</v>
      </c>
      <c r="T67" s="17">
        <f>X67*'PAG100 FE GE'!$D$2+Y67*'PAG100 FE GE'!$D$3+Z67*'PAG100 FE GE'!$D$4</f>
        <v>-294</v>
      </c>
      <c r="U67" s="17">
        <f>X67*'PAG20 FE GE'!$D$2+Y67*'PAG20 FE GE'!$D$3+Z67*'PAG20 FE GE'!$D$4</f>
        <v>-350</v>
      </c>
      <c r="V67" s="17">
        <f>X67*'PAG100 FE GE'!$C$2+Y67*'PAG100 FE GE'!$C$3+Z67*'PAG100 FE GE'!$C$4</f>
        <v>-324</v>
      </c>
      <c r="W67" s="17">
        <f>X67*'PAG20 FE GE'!$C$2+Y67*'PAG20 FE GE'!$C$3+Z67*'PAG20 FE GE'!$C$4</f>
        <v>-362</v>
      </c>
      <c r="X67" s="17">
        <v>-1</v>
      </c>
      <c r="Y67" s="17">
        <v>-1</v>
      </c>
      <c r="Z67" s="17">
        <v>-1</v>
      </c>
      <c r="AA67" s="17">
        <f>AG67*'PAG100 FE GE'!$E$2+AH67*'PAG100 FE GE'!$E$3+AI67*'PAG100 FE GE'!$E$4</f>
        <v>-301.89999999999998</v>
      </c>
      <c r="AB67" s="17">
        <f>AG67*'PAG20 FE GE'!$E$2+AH67*'PAG20 FE GE'!$E$3+AI67*'PAG20 FE GE'!$E$4</f>
        <v>-355.2</v>
      </c>
      <c r="AC67" s="17">
        <f>AG67*'PAG100 FE GE'!$D$2+AH67*'PAG100 FE GE'!$D$3+AI67*'PAG100 FE GE'!$D$4</f>
        <v>-294</v>
      </c>
      <c r="AD67" s="17">
        <f>AG67*'PAG20 FE GE'!$D$2+AH67*'PAG20 FE GE'!$D$3+AI67*'PAG20 FE GE'!$D$4</f>
        <v>-350</v>
      </c>
      <c r="AE67" s="17">
        <f>AG67*'PAG100 FE GE'!$C$2+AH67*'PAG100 FE GE'!$C$3+AI67*'PAG100 FE GE'!$C$4</f>
        <v>-324</v>
      </c>
      <c r="AF67" s="17">
        <f>AG67*'PAG20 FE GE'!$C$2+AH67*'PAG20 FE GE'!$C$3+AI67*'PAG20 FE GE'!$C$4</f>
        <v>-362</v>
      </c>
      <c r="AG67" s="17">
        <v>-1</v>
      </c>
      <c r="AH67" s="17">
        <v>-1</v>
      </c>
      <c r="AI67" s="17">
        <v>-1</v>
      </c>
      <c r="AJ67" s="17">
        <v>-1</v>
      </c>
      <c r="AK67" t="s">
        <v>424</v>
      </c>
      <c r="AL67" t="s">
        <v>790</v>
      </c>
    </row>
    <row r="68" spans="1:38" ht="15.75" thickBot="1" x14ac:dyDescent="0.3">
      <c r="A68" s="4" t="s">
        <v>2</v>
      </c>
      <c r="B68" s="7" t="s">
        <v>14</v>
      </c>
      <c r="C68" s="5" t="s">
        <v>95</v>
      </c>
      <c r="D68" s="6" t="s">
        <v>9</v>
      </c>
      <c r="E68" s="6" t="str">
        <f t="shared" si="35"/>
        <v>Pesado de Passageiros M3: III : GNL : E2</v>
      </c>
      <c r="F68" s="6" t="s">
        <v>57</v>
      </c>
      <c r="G68" s="6" t="s">
        <v>96</v>
      </c>
      <c r="H68" s="9">
        <f>IF(G68="MJ",INDEX(Tabela1[Energia (MJ/Qtd.)],MATCH(C68,Tabela1[Fuel],0)),IF(G68="GJ",INDEX(Tabela1[Energia (GJ/Qtd.)2],MATCH(C68,Tabela1[Fuel],0)),"XXX"))</f>
        <v>4.8000000000000001E-2</v>
      </c>
      <c r="I68" s="17">
        <v>-1</v>
      </c>
      <c r="J68" s="17">
        <v>-1</v>
      </c>
      <c r="K68" s="17">
        <v>-1</v>
      </c>
      <c r="L68" s="17">
        <v>-1</v>
      </c>
      <c r="M68" s="17">
        <v>-1</v>
      </c>
      <c r="N68" s="17">
        <v>-1</v>
      </c>
      <c r="O68" s="17">
        <v>-1</v>
      </c>
      <c r="P68" s="17">
        <v>-1</v>
      </c>
      <c r="Q68" s="17">
        <v>-1</v>
      </c>
      <c r="R68" s="17">
        <f>X68*'PAG100 FE GE'!$E$2+Y68*'PAG100 FE GE'!$E$3+Z68*'PAG100 FE GE'!$E$4</f>
        <v>-301.89999999999998</v>
      </c>
      <c r="S68" s="17">
        <f>X68*'PAG20 FE GE'!$E$2+Y68*'PAG20 FE GE'!$E$3+Z68*'PAG20 FE GE'!$E$4</f>
        <v>-355.2</v>
      </c>
      <c r="T68" s="17">
        <f>X68*'PAG100 FE GE'!$D$2+Y68*'PAG100 FE GE'!$D$3+Z68*'PAG100 FE GE'!$D$4</f>
        <v>-294</v>
      </c>
      <c r="U68" s="17">
        <f>X68*'PAG20 FE GE'!$D$2+Y68*'PAG20 FE GE'!$D$3+Z68*'PAG20 FE GE'!$D$4</f>
        <v>-350</v>
      </c>
      <c r="V68" s="17">
        <f>X68*'PAG100 FE GE'!$C$2+Y68*'PAG100 FE GE'!$C$3+Z68*'PAG100 FE GE'!$C$4</f>
        <v>-324</v>
      </c>
      <c r="W68" s="17">
        <f>X68*'PAG20 FE GE'!$C$2+Y68*'PAG20 FE GE'!$C$3+Z68*'PAG20 FE GE'!$C$4</f>
        <v>-362</v>
      </c>
      <c r="X68" s="17">
        <v>-1</v>
      </c>
      <c r="Y68" s="17">
        <v>-1</v>
      </c>
      <c r="Z68" s="17">
        <v>-1</v>
      </c>
      <c r="AA68" s="17">
        <f>AG68*'PAG100 FE GE'!$E$2+AH68*'PAG100 FE GE'!$E$3+AI68*'PAG100 FE GE'!$E$4</f>
        <v>-301.89999999999998</v>
      </c>
      <c r="AB68" s="17">
        <f>AG68*'PAG20 FE GE'!$E$2+AH68*'PAG20 FE GE'!$E$3+AI68*'PAG20 FE GE'!$E$4</f>
        <v>-355.2</v>
      </c>
      <c r="AC68" s="17">
        <f>AG68*'PAG100 FE GE'!$D$2+AH68*'PAG100 FE GE'!$D$3+AI68*'PAG100 FE GE'!$D$4</f>
        <v>-294</v>
      </c>
      <c r="AD68" s="17">
        <f>AG68*'PAG20 FE GE'!$D$2+AH68*'PAG20 FE GE'!$D$3+AI68*'PAG20 FE GE'!$D$4</f>
        <v>-350</v>
      </c>
      <c r="AE68" s="17">
        <f>AG68*'PAG100 FE GE'!$C$2+AH68*'PAG100 FE GE'!$C$3+AI68*'PAG100 FE GE'!$C$4</f>
        <v>-324</v>
      </c>
      <c r="AF68" s="17">
        <f>AG68*'PAG20 FE GE'!$C$2+AH68*'PAG20 FE GE'!$C$3+AI68*'PAG20 FE GE'!$C$4</f>
        <v>-362</v>
      </c>
      <c r="AG68" s="17">
        <v>-1</v>
      </c>
      <c r="AH68" s="17">
        <v>-1</v>
      </c>
      <c r="AI68" s="17">
        <v>-1</v>
      </c>
      <c r="AJ68" s="17">
        <v>-1</v>
      </c>
      <c r="AK68" t="s">
        <v>424</v>
      </c>
      <c r="AL68" t="s">
        <v>790</v>
      </c>
    </row>
    <row r="69" spans="1:38" ht="15.75" thickBot="1" x14ac:dyDescent="0.3">
      <c r="A69" s="4" t="s">
        <v>2</v>
      </c>
      <c r="B69" s="7" t="s">
        <v>14</v>
      </c>
      <c r="C69" s="5" t="s">
        <v>95</v>
      </c>
      <c r="D69" s="6" t="s">
        <v>10</v>
      </c>
      <c r="E69" s="6" t="str">
        <f t="shared" si="35"/>
        <v>Pesado de Passageiros M3: III : GNL : E3</v>
      </c>
      <c r="F69" s="6" t="s">
        <v>57</v>
      </c>
      <c r="G69" s="6" t="s">
        <v>96</v>
      </c>
      <c r="H69" s="9">
        <f>IF(G69="MJ",INDEX(Tabela1[Energia (MJ/Qtd.)],MATCH(C69,Tabela1[Fuel],0)),IF(G69="GJ",INDEX(Tabela1[Energia (GJ/Qtd.)2],MATCH(C69,Tabela1[Fuel],0)),"XXX"))</f>
        <v>4.8000000000000001E-2</v>
      </c>
      <c r="I69" s="17">
        <v>-1</v>
      </c>
      <c r="J69" s="17">
        <v>-1</v>
      </c>
      <c r="K69" s="17">
        <v>-1</v>
      </c>
      <c r="L69" s="17">
        <v>-1</v>
      </c>
      <c r="M69" s="17">
        <v>-1</v>
      </c>
      <c r="N69" s="17">
        <v>-1</v>
      </c>
      <c r="O69" s="17">
        <v>-1</v>
      </c>
      <c r="P69" s="17">
        <v>-1</v>
      </c>
      <c r="Q69" s="17">
        <v>-1</v>
      </c>
      <c r="R69" s="17">
        <f>X69*'PAG100 FE GE'!$E$2+Y69*'PAG100 FE GE'!$E$3+Z69*'PAG100 FE GE'!$E$4</f>
        <v>-301.89999999999998</v>
      </c>
      <c r="S69" s="17">
        <f>X69*'PAG20 FE GE'!$E$2+Y69*'PAG20 FE GE'!$E$3+Z69*'PAG20 FE GE'!$E$4</f>
        <v>-355.2</v>
      </c>
      <c r="T69" s="17">
        <f>X69*'PAG100 FE GE'!$D$2+Y69*'PAG100 FE GE'!$D$3+Z69*'PAG100 FE GE'!$D$4</f>
        <v>-294</v>
      </c>
      <c r="U69" s="17">
        <f>X69*'PAG20 FE GE'!$D$2+Y69*'PAG20 FE GE'!$D$3+Z69*'PAG20 FE GE'!$D$4</f>
        <v>-350</v>
      </c>
      <c r="V69" s="17">
        <f>X69*'PAG100 FE GE'!$C$2+Y69*'PAG100 FE GE'!$C$3+Z69*'PAG100 FE GE'!$C$4</f>
        <v>-324</v>
      </c>
      <c r="W69" s="17">
        <f>X69*'PAG20 FE GE'!$C$2+Y69*'PAG20 FE GE'!$C$3+Z69*'PAG20 FE GE'!$C$4</f>
        <v>-362</v>
      </c>
      <c r="X69" s="17">
        <v>-1</v>
      </c>
      <c r="Y69" s="17">
        <v>-1</v>
      </c>
      <c r="Z69" s="17">
        <v>-1</v>
      </c>
      <c r="AA69" s="17">
        <f>AG69*'PAG100 FE GE'!$E$2+AH69*'PAG100 FE GE'!$E$3+AI69*'PAG100 FE GE'!$E$4</f>
        <v>-301.89999999999998</v>
      </c>
      <c r="AB69" s="17">
        <f>AG69*'PAG20 FE GE'!$E$2+AH69*'PAG20 FE GE'!$E$3+AI69*'PAG20 FE GE'!$E$4</f>
        <v>-355.2</v>
      </c>
      <c r="AC69" s="17">
        <f>AG69*'PAG100 FE GE'!$D$2+AH69*'PAG100 FE GE'!$D$3+AI69*'PAG100 FE GE'!$D$4</f>
        <v>-294</v>
      </c>
      <c r="AD69" s="17">
        <f>AG69*'PAG20 FE GE'!$D$2+AH69*'PAG20 FE GE'!$D$3+AI69*'PAG20 FE GE'!$D$4</f>
        <v>-350</v>
      </c>
      <c r="AE69" s="17">
        <f>AG69*'PAG100 FE GE'!$C$2+AH69*'PAG100 FE GE'!$C$3+AI69*'PAG100 FE GE'!$C$4</f>
        <v>-324</v>
      </c>
      <c r="AF69" s="17">
        <f>AG69*'PAG20 FE GE'!$C$2+AH69*'PAG20 FE GE'!$C$3+AI69*'PAG20 FE GE'!$C$4</f>
        <v>-362</v>
      </c>
      <c r="AG69" s="17">
        <v>-1</v>
      </c>
      <c r="AH69" s="17">
        <v>-1</v>
      </c>
      <c r="AI69" s="17">
        <v>-1</v>
      </c>
      <c r="AJ69" s="17">
        <v>-1</v>
      </c>
      <c r="AK69" t="s">
        <v>424</v>
      </c>
      <c r="AL69" t="s">
        <v>790</v>
      </c>
    </row>
    <row r="70" spans="1:38" ht="15.75" thickBot="1" x14ac:dyDescent="0.3">
      <c r="A70" s="4" t="s">
        <v>2</v>
      </c>
      <c r="B70" s="7" t="s">
        <v>14</v>
      </c>
      <c r="C70" s="5" t="s">
        <v>95</v>
      </c>
      <c r="D70" s="6" t="s">
        <v>4</v>
      </c>
      <c r="E70" s="6" t="str">
        <f t="shared" si="35"/>
        <v>Pesado de Passageiros M3: III : GNL : E4</v>
      </c>
      <c r="F70" s="6" t="s">
        <v>57</v>
      </c>
      <c r="G70" s="6" t="s">
        <v>96</v>
      </c>
      <c r="H70" s="9">
        <f>IF(G70="MJ",INDEX(Tabela1[Energia (MJ/Qtd.)],MATCH(C70,Tabela1[Fuel],0)),IF(G70="GJ",INDEX(Tabela1[Energia (GJ/Qtd.)2],MATCH(C70,Tabela1[Fuel],0)),"XXX"))</f>
        <v>4.8000000000000001E-2</v>
      </c>
      <c r="I70" s="17">
        <v>-1</v>
      </c>
      <c r="J70" s="17">
        <v>-1</v>
      </c>
      <c r="K70" s="17">
        <v>-1</v>
      </c>
      <c r="L70" s="17">
        <v>-1</v>
      </c>
      <c r="M70" s="17">
        <v>-1</v>
      </c>
      <c r="N70" s="17">
        <v>-1</v>
      </c>
      <c r="O70" s="17">
        <v>-1</v>
      </c>
      <c r="P70" s="17">
        <v>-1</v>
      </c>
      <c r="Q70" s="17">
        <v>-1</v>
      </c>
      <c r="R70" s="17">
        <f>X70*'PAG100 FE GE'!$E$2+Y70*'PAG100 FE GE'!$E$3+Z70*'PAG100 FE GE'!$E$4</f>
        <v>-301.89999999999998</v>
      </c>
      <c r="S70" s="17">
        <f>X70*'PAG20 FE GE'!$E$2+Y70*'PAG20 FE GE'!$E$3+Z70*'PAG20 FE GE'!$E$4</f>
        <v>-355.2</v>
      </c>
      <c r="T70" s="17">
        <f>X70*'PAG100 FE GE'!$D$2+Y70*'PAG100 FE GE'!$D$3+Z70*'PAG100 FE GE'!$D$4</f>
        <v>-294</v>
      </c>
      <c r="U70" s="17">
        <f>X70*'PAG20 FE GE'!$D$2+Y70*'PAG20 FE GE'!$D$3+Z70*'PAG20 FE GE'!$D$4</f>
        <v>-350</v>
      </c>
      <c r="V70" s="17">
        <f>X70*'PAG100 FE GE'!$C$2+Y70*'PAG100 FE GE'!$C$3+Z70*'PAG100 FE GE'!$C$4</f>
        <v>-324</v>
      </c>
      <c r="W70" s="17">
        <f>X70*'PAG20 FE GE'!$C$2+Y70*'PAG20 FE GE'!$C$3+Z70*'PAG20 FE GE'!$C$4</f>
        <v>-362</v>
      </c>
      <c r="X70" s="17">
        <v>-1</v>
      </c>
      <c r="Y70" s="17">
        <v>-1</v>
      </c>
      <c r="Z70" s="17">
        <v>-1</v>
      </c>
      <c r="AA70" s="17">
        <f>AG70*'PAG100 FE GE'!$E$2+AH70*'PAG100 FE GE'!$E$3+AI70*'PAG100 FE GE'!$E$4</f>
        <v>-301.89999999999998</v>
      </c>
      <c r="AB70" s="17">
        <f>AG70*'PAG20 FE GE'!$E$2+AH70*'PAG20 FE GE'!$E$3+AI70*'PAG20 FE GE'!$E$4</f>
        <v>-355.2</v>
      </c>
      <c r="AC70" s="17">
        <f>AG70*'PAG100 FE GE'!$D$2+AH70*'PAG100 FE GE'!$D$3+AI70*'PAG100 FE GE'!$D$4</f>
        <v>-294</v>
      </c>
      <c r="AD70" s="17">
        <f>AG70*'PAG20 FE GE'!$D$2+AH70*'PAG20 FE GE'!$D$3+AI70*'PAG20 FE GE'!$D$4</f>
        <v>-350</v>
      </c>
      <c r="AE70" s="17">
        <f>AG70*'PAG100 FE GE'!$C$2+AH70*'PAG100 FE GE'!$C$3+AI70*'PAG100 FE GE'!$C$4</f>
        <v>-324</v>
      </c>
      <c r="AF70" s="17">
        <f>AG70*'PAG20 FE GE'!$C$2+AH70*'PAG20 FE GE'!$C$3+AI70*'PAG20 FE GE'!$C$4</f>
        <v>-362</v>
      </c>
      <c r="AG70" s="17">
        <v>-1</v>
      </c>
      <c r="AH70" s="17">
        <v>-1</v>
      </c>
      <c r="AI70" s="17">
        <v>-1</v>
      </c>
      <c r="AJ70" s="17">
        <v>-1</v>
      </c>
      <c r="AK70" t="s">
        <v>424</v>
      </c>
      <c r="AL70" t="s">
        <v>790</v>
      </c>
    </row>
    <row r="71" spans="1:38" ht="15.75" thickBot="1" x14ac:dyDescent="0.3">
      <c r="A71" s="4" t="s">
        <v>2</v>
      </c>
      <c r="B71" s="7" t="s">
        <v>14</v>
      </c>
      <c r="C71" s="5" t="s">
        <v>95</v>
      </c>
      <c r="D71" s="6" t="s">
        <v>5</v>
      </c>
      <c r="E71" s="6" t="str">
        <f t="shared" si="35"/>
        <v>Pesado de Passageiros M3: III : GNL : E5</v>
      </c>
      <c r="F71" s="6" t="s">
        <v>57</v>
      </c>
      <c r="G71" s="6" t="s">
        <v>96</v>
      </c>
      <c r="H71" s="9">
        <f>IF(G71="MJ",INDEX(Tabela1[Energia (MJ/Qtd.)],MATCH(C71,Tabela1[Fuel],0)),IF(G71="GJ",INDEX(Tabela1[Energia (GJ/Qtd.)2],MATCH(C71,Tabela1[Fuel],0)),"XXX"))</f>
        <v>4.8000000000000001E-2</v>
      </c>
      <c r="I71" s="17">
        <v>-1</v>
      </c>
      <c r="J71" s="17">
        <v>-1</v>
      </c>
      <c r="K71" s="17">
        <v>-1</v>
      </c>
      <c r="L71" s="17">
        <v>-1</v>
      </c>
      <c r="M71" s="17">
        <v>-1</v>
      </c>
      <c r="N71" s="17">
        <v>-1</v>
      </c>
      <c r="O71" s="17">
        <v>-1</v>
      </c>
      <c r="P71" s="17">
        <v>-1</v>
      </c>
      <c r="Q71" s="17">
        <v>-1</v>
      </c>
      <c r="R71" s="17">
        <f>X71*'PAG100 FE GE'!$E$2+Y71*'PAG100 FE GE'!$E$3+Z71*'PAG100 FE GE'!$E$4</f>
        <v>-301.89999999999998</v>
      </c>
      <c r="S71" s="17">
        <f>X71*'PAG20 FE GE'!$E$2+Y71*'PAG20 FE GE'!$E$3+Z71*'PAG20 FE GE'!$E$4</f>
        <v>-355.2</v>
      </c>
      <c r="T71" s="17">
        <f>X71*'PAG100 FE GE'!$D$2+Y71*'PAG100 FE GE'!$D$3+Z71*'PAG100 FE GE'!$D$4</f>
        <v>-294</v>
      </c>
      <c r="U71" s="17">
        <f>X71*'PAG20 FE GE'!$D$2+Y71*'PAG20 FE GE'!$D$3+Z71*'PAG20 FE GE'!$D$4</f>
        <v>-350</v>
      </c>
      <c r="V71" s="17">
        <f>X71*'PAG100 FE GE'!$C$2+Y71*'PAG100 FE GE'!$C$3+Z71*'PAG100 FE GE'!$C$4</f>
        <v>-324</v>
      </c>
      <c r="W71" s="17">
        <f>X71*'PAG20 FE GE'!$C$2+Y71*'PAG20 FE GE'!$C$3+Z71*'PAG20 FE GE'!$C$4</f>
        <v>-362</v>
      </c>
      <c r="X71" s="17">
        <v>-1</v>
      </c>
      <c r="Y71" s="17">
        <v>-1</v>
      </c>
      <c r="Z71" s="17">
        <v>-1</v>
      </c>
      <c r="AA71" s="17">
        <f>AG71*'PAG100 FE GE'!$E$2+AH71*'PAG100 FE GE'!$E$3+AI71*'PAG100 FE GE'!$E$4</f>
        <v>-301.89999999999998</v>
      </c>
      <c r="AB71" s="17">
        <f>AG71*'PAG20 FE GE'!$E$2+AH71*'PAG20 FE GE'!$E$3+AI71*'PAG20 FE GE'!$E$4</f>
        <v>-355.2</v>
      </c>
      <c r="AC71" s="17">
        <f>AG71*'PAG100 FE GE'!$D$2+AH71*'PAG100 FE GE'!$D$3+AI71*'PAG100 FE GE'!$D$4</f>
        <v>-294</v>
      </c>
      <c r="AD71" s="17">
        <f>AG71*'PAG20 FE GE'!$D$2+AH71*'PAG20 FE GE'!$D$3+AI71*'PAG20 FE GE'!$D$4</f>
        <v>-350</v>
      </c>
      <c r="AE71" s="17">
        <f>AG71*'PAG100 FE GE'!$C$2+AH71*'PAG100 FE GE'!$C$3+AI71*'PAG100 FE GE'!$C$4</f>
        <v>-324</v>
      </c>
      <c r="AF71" s="17">
        <f>AG71*'PAG20 FE GE'!$C$2+AH71*'PAG20 FE GE'!$C$3+AI71*'PAG20 FE GE'!$C$4</f>
        <v>-362</v>
      </c>
      <c r="AG71" s="17">
        <v>-1</v>
      </c>
      <c r="AH71" s="17">
        <v>-1</v>
      </c>
      <c r="AI71" s="17">
        <v>-1</v>
      </c>
      <c r="AJ71" s="17">
        <v>-1</v>
      </c>
      <c r="AK71" t="s">
        <v>424</v>
      </c>
      <c r="AL71" t="s">
        <v>790</v>
      </c>
    </row>
    <row r="72" spans="1:38" ht="15.75" thickBot="1" x14ac:dyDescent="0.3">
      <c r="A72" s="4" t="s">
        <v>2</v>
      </c>
      <c r="B72" s="7" t="s">
        <v>14</v>
      </c>
      <c r="C72" s="5" t="s">
        <v>95</v>
      </c>
      <c r="D72" s="6" t="s">
        <v>6</v>
      </c>
      <c r="E72" s="6" t="str">
        <f t="shared" si="35"/>
        <v>Pesado de Passageiros M3: III : GNL : E6</v>
      </c>
      <c r="F72" s="6" t="s">
        <v>57</v>
      </c>
      <c r="G72" s="6" t="s">
        <v>96</v>
      </c>
      <c r="H72" s="9">
        <f>IF(G72="MJ",INDEX(Tabela1[Energia (MJ/Qtd.)],MATCH(C72,Tabela1[Fuel],0)),IF(G72="GJ",INDEX(Tabela1[Energia (GJ/Qtd.)2],MATCH(C72,Tabela1[Fuel],0)),"XXX"))</f>
        <v>4.8000000000000001E-2</v>
      </c>
      <c r="I72" s="17">
        <v>-1</v>
      </c>
      <c r="J72" s="17">
        <v>-1</v>
      </c>
      <c r="K72" s="17">
        <v>-1</v>
      </c>
      <c r="L72" s="17">
        <v>-1</v>
      </c>
      <c r="M72" s="17">
        <v>-1</v>
      </c>
      <c r="N72" s="17">
        <v>-1</v>
      </c>
      <c r="O72" s="17">
        <v>-1</v>
      </c>
      <c r="P72" s="17">
        <v>-1</v>
      </c>
      <c r="Q72" s="17">
        <v>-1</v>
      </c>
      <c r="R72" s="17">
        <f>X72*'PAG100 FE GE'!$E$2+Y72*'PAG100 FE GE'!$E$3+Z72*'PAG100 FE GE'!$E$4</f>
        <v>-301.89999999999998</v>
      </c>
      <c r="S72" s="17">
        <f>X72*'PAG20 FE GE'!$E$2+Y72*'PAG20 FE GE'!$E$3+Z72*'PAG20 FE GE'!$E$4</f>
        <v>-355.2</v>
      </c>
      <c r="T72" s="17">
        <f>X72*'PAG100 FE GE'!$D$2+Y72*'PAG100 FE GE'!$D$3+Z72*'PAG100 FE GE'!$D$4</f>
        <v>-294</v>
      </c>
      <c r="U72" s="17">
        <f>X72*'PAG20 FE GE'!$D$2+Y72*'PAG20 FE GE'!$D$3+Z72*'PAG20 FE GE'!$D$4</f>
        <v>-350</v>
      </c>
      <c r="V72" s="17">
        <f>X72*'PAG100 FE GE'!$C$2+Y72*'PAG100 FE GE'!$C$3+Z72*'PAG100 FE GE'!$C$4</f>
        <v>-324</v>
      </c>
      <c r="W72" s="17">
        <f>X72*'PAG20 FE GE'!$C$2+Y72*'PAG20 FE GE'!$C$3+Z72*'PAG20 FE GE'!$C$4</f>
        <v>-362</v>
      </c>
      <c r="X72" s="17">
        <v>-1</v>
      </c>
      <c r="Y72" s="17">
        <v>-1</v>
      </c>
      <c r="Z72" s="17">
        <v>-1</v>
      </c>
      <c r="AA72" s="17">
        <f>AG72*'PAG100 FE GE'!$E$2+AH72*'PAG100 FE GE'!$E$3+AI72*'PAG100 FE GE'!$E$4</f>
        <v>-301.89999999999998</v>
      </c>
      <c r="AB72" s="17">
        <f>AG72*'PAG20 FE GE'!$E$2+AH72*'PAG20 FE GE'!$E$3+AI72*'PAG20 FE GE'!$E$4</f>
        <v>-355.2</v>
      </c>
      <c r="AC72" s="17">
        <f>AG72*'PAG100 FE GE'!$D$2+AH72*'PAG100 FE GE'!$D$3+AI72*'PAG100 FE GE'!$D$4</f>
        <v>-294</v>
      </c>
      <c r="AD72" s="17">
        <f>AG72*'PAG20 FE GE'!$D$2+AH72*'PAG20 FE GE'!$D$3+AI72*'PAG20 FE GE'!$D$4</f>
        <v>-350</v>
      </c>
      <c r="AE72" s="17">
        <f>AG72*'PAG100 FE GE'!$C$2+AH72*'PAG100 FE GE'!$C$3+AI72*'PAG100 FE GE'!$C$4</f>
        <v>-324</v>
      </c>
      <c r="AF72" s="17">
        <f>AG72*'PAG20 FE GE'!$C$2+AH72*'PAG20 FE GE'!$C$3+AI72*'PAG20 FE GE'!$C$4</f>
        <v>-362</v>
      </c>
      <c r="AG72" s="17">
        <v>-1</v>
      </c>
      <c r="AH72" s="17">
        <v>-1</v>
      </c>
      <c r="AI72" s="17">
        <v>-1</v>
      </c>
      <c r="AJ72" s="17">
        <v>-1</v>
      </c>
      <c r="AK72" t="s">
        <v>424</v>
      </c>
      <c r="AL72" t="s">
        <v>790</v>
      </c>
    </row>
    <row r="73" spans="1:38" ht="15.75" thickBot="1" x14ac:dyDescent="0.3">
      <c r="A73" s="4" t="s">
        <v>2</v>
      </c>
      <c r="B73" s="7" t="s">
        <v>14</v>
      </c>
      <c r="C73" s="5" t="s">
        <v>95</v>
      </c>
      <c r="D73" s="6" t="s">
        <v>81</v>
      </c>
      <c r="E73" s="6" t="str">
        <f t="shared" si="35"/>
        <v>Pesado de Passageiros M3: III : GNL : E6 D/E E7</v>
      </c>
      <c r="F73" s="6" t="s">
        <v>57</v>
      </c>
      <c r="G73" s="6" t="s">
        <v>96</v>
      </c>
      <c r="H73" s="9">
        <f>IF(G73="MJ",INDEX(Tabela1[Energia (MJ/Qtd.)],MATCH(C73,Tabela1[Fuel],0)),IF(G73="GJ",INDEX(Tabela1[Energia (GJ/Qtd.)2],MATCH(C73,Tabela1[Fuel],0)),"XXX"))</f>
        <v>4.8000000000000001E-2</v>
      </c>
      <c r="I73" s="17">
        <v>-1</v>
      </c>
      <c r="J73" s="17">
        <v>-1</v>
      </c>
      <c r="K73" s="17">
        <v>-1</v>
      </c>
      <c r="L73" s="17">
        <v>-1</v>
      </c>
      <c r="M73" s="17">
        <v>-1</v>
      </c>
      <c r="N73" s="17">
        <v>-1</v>
      </c>
      <c r="O73" s="17">
        <v>-1</v>
      </c>
      <c r="P73" s="17">
        <v>-1</v>
      </c>
      <c r="Q73" s="17">
        <v>-1</v>
      </c>
      <c r="R73" s="17">
        <f>X73*'PAG100 FE GE'!$E$2+Y73*'PAG100 FE GE'!$E$3+Z73*'PAG100 FE GE'!$E$4</f>
        <v>-301.89999999999998</v>
      </c>
      <c r="S73" s="17">
        <f>X73*'PAG20 FE GE'!$E$2+Y73*'PAG20 FE GE'!$E$3+Z73*'PAG20 FE GE'!$E$4</f>
        <v>-355.2</v>
      </c>
      <c r="T73" s="17">
        <f>X73*'PAG100 FE GE'!$D$2+Y73*'PAG100 FE GE'!$D$3+Z73*'PAG100 FE GE'!$D$4</f>
        <v>-294</v>
      </c>
      <c r="U73" s="17">
        <f>X73*'PAG20 FE GE'!$D$2+Y73*'PAG20 FE GE'!$D$3+Z73*'PAG20 FE GE'!$D$4</f>
        <v>-350</v>
      </c>
      <c r="V73" s="17">
        <f>X73*'PAG100 FE GE'!$C$2+Y73*'PAG100 FE GE'!$C$3+Z73*'PAG100 FE GE'!$C$4</f>
        <v>-324</v>
      </c>
      <c r="W73" s="17">
        <f>X73*'PAG20 FE GE'!$C$2+Y73*'PAG20 FE GE'!$C$3+Z73*'PAG20 FE GE'!$C$4</f>
        <v>-362</v>
      </c>
      <c r="X73" s="17">
        <v>-1</v>
      </c>
      <c r="Y73" s="17">
        <v>-1</v>
      </c>
      <c r="Z73" s="17">
        <v>-1</v>
      </c>
      <c r="AA73" s="17">
        <f>AG73*'PAG100 FE GE'!$E$2+AH73*'PAG100 FE GE'!$E$3+AI73*'PAG100 FE GE'!$E$4</f>
        <v>-301.89999999999998</v>
      </c>
      <c r="AB73" s="17">
        <f>AG73*'PAG20 FE GE'!$E$2+AH73*'PAG20 FE GE'!$E$3+AI73*'PAG20 FE GE'!$E$4</f>
        <v>-355.2</v>
      </c>
      <c r="AC73" s="17">
        <f>AG73*'PAG100 FE GE'!$D$2+AH73*'PAG100 FE GE'!$D$3+AI73*'PAG100 FE GE'!$D$4</f>
        <v>-294</v>
      </c>
      <c r="AD73" s="17">
        <f>AG73*'PAG20 FE GE'!$D$2+AH73*'PAG20 FE GE'!$D$3+AI73*'PAG20 FE GE'!$D$4</f>
        <v>-350</v>
      </c>
      <c r="AE73" s="17">
        <f>AG73*'PAG100 FE GE'!$C$2+AH73*'PAG100 FE GE'!$C$3+AI73*'PAG100 FE GE'!$C$4</f>
        <v>-324</v>
      </c>
      <c r="AF73" s="17">
        <f>AG73*'PAG20 FE GE'!$C$2+AH73*'PAG20 FE GE'!$C$3+AI73*'PAG20 FE GE'!$C$4</f>
        <v>-362</v>
      </c>
      <c r="AG73" s="17">
        <v>-1</v>
      </c>
      <c r="AH73" s="17">
        <v>-1</v>
      </c>
      <c r="AI73" s="17">
        <v>-1</v>
      </c>
      <c r="AJ73" s="17">
        <v>-1</v>
      </c>
      <c r="AK73" t="s">
        <v>424</v>
      </c>
      <c r="AL73" t="s">
        <v>790</v>
      </c>
    </row>
    <row r="74" spans="1:38" ht="15.75" thickBot="1" x14ac:dyDescent="0.3">
      <c r="A74" s="4" t="s">
        <v>46</v>
      </c>
      <c r="B74" s="7" t="s">
        <v>79</v>
      </c>
      <c r="C74" s="5" t="s">
        <v>3</v>
      </c>
      <c r="D74" s="6" t="s">
        <v>8</v>
      </c>
      <c r="E74" s="6" t="str">
        <f t="shared" si="35"/>
        <v>Pesado de Mercadorias N3: &lt;20 t : Gasóleo : E0</v>
      </c>
      <c r="F74" s="6" t="s">
        <v>55</v>
      </c>
      <c r="G74" s="6" t="s">
        <v>96</v>
      </c>
      <c r="H74" s="9">
        <f>IF(G74="MJ",INDEX(Tabela1[Energia (MJ/Qtd.)],MATCH(C74,Tabela1[Fuel],0)),IF(G74="GJ",INDEX(Tabela1[Energia (GJ/Qtd.)2],MATCH(C74,Tabela1[Fuel],0)),"XXX"))</f>
        <v>3.5868000000000004E-2</v>
      </c>
      <c r="I74" s="9">
        <f>O74*'PAG100 FE GE'!$E$2+P74*'PAG100 FE GE'!$E$3+Q74*'PAG100 FE GE'!$E$4</f>
        <v>70328.41</v>
      </c>
      <c r="J74" s="9">
        <f>O74*'PAG20 FE GE'!$E$2+P74*'PAG20 FE GE'!$E$3+Q74*'PAG20 FE GE'!$E$4</f>
        <v>70802.78</v>
      </c>
      <c r="K74" s="9">
        <f>O74*'PAG100 FE GE'!$D$2+P74*'PAG100 FE GE'!$D$3+Q74*'PAG100 FE GE'!$D$4</f>
        <v>70299.7</v>
      </c>
      <c r="L74" s="9">
        <f>O74*'PAG20 FE GE'!$D$2+P74*'PAG20 FE GE'!$D$3+Q74*'PAG20 FE GE'!$D$4</f>
        <v>70803.3</v>
      </c>
      <c r="M74" s="9">
        <f>O74*'PAG100 FE GE'!$C$2+P74*'PAG100 FE GE'!$C$3+Q74*'PAG100 FE GE'!$C$4</f>
        <v>70395.100000000006</v>
      </c>
      <c r="N74" s="9">
        <f>O74*'PAG20 FE GE'!$C$2+P74*'PAG20 FE GE'!$C$3+Q74*'PAG20 FE GE'!$C$4</f>
        <v>70780.100000000006</v>
      </c>
      <c r="O74" s="9">
        <f>69.07*1000</f>
        <v>69070</v>
      </c>
      <c r="P74" s="9">
        <f>0.0089*1000</f>
        <v>8.9</v>
      </c>
      <c r="Q74" s="9">
        <f>0.0037*1000</f>
        <v>3.7</v>
      </c>
      <c r="R74" s="9">
        <f>X74*'PAG100 FE GE'!$E$2+Y74*'PAG100 FE GE'!$E$3+Z74*'PAG100 FE GE'!$E$4</f>
        <v>2522.5394098800007</v>
      </c>
      <c r="S74" s="9">
        <f>X74*'PAG20 FE GE'!$E$2+Y74*'PAG20 FE GE'!$E$3+Z74*'PAG20 FE GE'!$E$4</f>
        <v>2539.5541130400006</v>
      </c>
      <c r="T74" s="9">
        <f>X74*'PAG100 FE GE'!$D$2+Y74*'PAG100 FE GE'!$D$3+Z74*'PAG100 FE GE'!$D$4</f>
        <v>2521.5096396000004</v>
      </c>
      <c r="U74" s="9">
        <f>X74*'PAG20 FE GE'!$D$2+Y74*'PAG20 FE GE'!$D$3+Z74*'PAG20 FE GE'!$D$4</f>
        <v>2539.5727644000003</v>
      </c>
      <c r="V74" s="9">
        <f>X74*'PAG100 FE GE'!$C$2+Y74*'PAG100 FE GE'!$C$3+Z74*'PAG100 FE GE'!$C$4</f>
        <v>2524.9314468000002</v>
      </c>
      <c r="W74" s="9">
        <f>X74*'PAG20 FE GE'!$C$2+Y74*'PAG20 FE GE'!$C$3+Z74*'PAG20 FE GE'!$C$4</f>
        <v>2538.7406268000004</v>
      </c>
      <c r="X74" s="9">
        <f t="shared" ref="X74:X106" si="36">O74*$H74</f>
        <v>2477.4027600000004</v>
      </c>
      <c r="Y74" s="9">
        <f t="shared" ref="Y74:Y106" si="37">P74*$H74</f>
        <v>0.31922520000000004</v>
      </c>
      <c r="Z74" s="9">
        <f t="shared" ref="Z74:Z106" si="38">Q74*$H74</f>
        <v>0.13271160000000001</v>
      </c>
      <c r="AA74" s="9">
        <f>AG74*'PAG100 FE GE'!$E$2+AH74*'PAG100 FE GE'!$E$3+AI74*'PAG100 FE GE'!$E$4</f>
        <v>569.51078089999999</v>
      </c>
      <c r="AB74" s="9">
        <f>AG74*'PAG20 FE GE'!$E$2+AH74*'PAG20 FE GE'!$E$3+AI74*'PAG20 FE GE'!$E$4</f>
        <v>573.35216519999994</v>
      </c>
      <c r="AC74" s="9">
        <f>AG74*'PAG100 FE GE'!$D$2+AH74*'PAG100 FE GE'!$D$3+AI74*'PAG100 FE GE'!$D$4</f>
        <v>569.27798799999994</v>
      </c>
      <c r="AD74" s="9">
        <f>AG74*'PAG20 FE GE'!$D$2+AH74*'PAG20 FE GE'!$D$3+AI74*'PAG20 FE GE'!$D$4</f>
        <v>573.35603499999991</v>
      </c>
      <c r="AE74" s="9">
        <f>AG74*'PAG100 FE GE'!$C$2+AH74*'PAG100 FE GE'!$C$3+AI74*'PAG100 FE GE'!$C$4</f>
        <v>570.05177500000002</v>
      </c>
      <c r="AF74" s="9">
        <f>AG74*'PAG20 FE GE'!$C$2+AH74*'PAG20 FE GE'!$C$3+AI74*'PAG20 FE GE'!$C$4</f>
        <v>573.16911199999993</v>
      </c>
      <c r="AG74" s="9">
        <v>559.30999999999995</v>
      </c>
      <c r="AH74" s="9">
        <f>72.071/1000</f>
        <v>7.2070999999999996E-2</v>
      </c>
      <c r="AI74" s="9">
        <v>0.03</v>
      </c>
      <c r="AJ74" s="13">
        <f t="shared" ref="AJ74:AJ97" si="39">AG74/X74*100</f>
        <v>22.57646633121535</v>
      </c>
      <c r="AK74" t="s">
        <v>424</v>
      </c>
      <c r="AL74" t="s">
        <v>790</v>
      </c>
    </row>
    <row r="75" spans="1:38" ht="15.75" thickBot="1" x14ac:dyDescent="0.3">
      <c r="A75" s="4" t="s">
        <v>46</v>
      </c>
      <c r="B75" s="7" t="s">
        <v>79</v>
      </c>
      <c r="C75" s="5" t="s">
        <v>3</v>
      </c>
      <c r="D75" s="6" t="s">
        <v>7</v>
      </c>
      <c r="E75" s="6" t="str">
        <f t="shared" si="35"/>
        <v>Pesado de Mercadorias N3: &lt;20 t : Gasóleo : E1</v>
      </c>
      <c r="F75" s="6" t="s">
        <v>55</v>
      </c>
      <c r="G75" s="6" t="s">
        <v>96</v>
      </c>
      <c r="H75" s="9">
        <f>IF(G75="MJ",INDEX(Tabela1[Energia (MJ/Qtd.)],MATCH(C75,Tabela1[Fuel],0)),IF(G75="GJ",INDEX(Tabela1[Energia (GJ/Qtd.)2],MATCH(C75,Tabela1[Fuel],0)),"XXX"))</f>
        <v>3.5868000000000004E-2</v>
      </c>
      <c r="I75" s="9">
        <f>O75*'PAG100 FE GE'!$E$2+P75*'PAG100 FE GE'!$E$3+Q75*'PAG100 FE GE'!$E$4</f>
        <v>69646.906999999992</v>
      </c>
      <c r="J75" s="9">
        <f>O75*'PAG20 FE GE'!$E$2+P75*'PAG20 FE GE'!$E$3+Q75*'PAG20 FE GE'!$E$4</f>
        <v>70218.815999999992</v>
      </c>
      <c r="K75" s="9">
        <f>O75*'PAG100 FE GE'!$D$2+P75*'PAG100 FE GE'!$D$3+Q75*'PAG100 FE GE'!$D$4</f>
        <v>69640.14</v>
      </c>
      <c r="L75" s="9">
        <f>O75*'PAG20 FE GE'!$D$2+P75*'PAG20 FE GE'!$D$3+Q75*'PAG20 FE GE'!$D$4</f>
        <v>70250.77</v>
      </c>
      <c r="M75" s="9">
        <f>O75*'PAG100 FE GE'!$C$2+P75*'PAG100 FE GE'!$C$3+Q75*'PAG100 FE GE'!$C$4</f>
        <v>69640.289999999994</v>
      </c>
      <c r="N75" s="9">
        <f>O75*'PAG20 FE GE'!$C$2+P75*'PAG20 FE GE'!$C$3+Q75*'PAG20 FE GE'!$C$4</f>
        <v>70135.78</v>
      </c>
      <c r="O75" s="9">
        <f>69.08*1000</f>
        <v>69080</v>
      </c>
      <c r="P75" s="9">
        <f>0.01073*1000</f>
        <v>10.73</v>
      </c>
      <c r="Q75" s="9">
        <f>0.00098*1000</f>
        <v>0.98</v>
      </c>
      <c r="R75" s="9">
        <f>X75*'PAG100 FE GE'!$E$2+Y75*'PAG100 FE GE'!$E$3+Z75*'PAG100 FE GE'!$E$4</f>
        <v>2498.0952602759999</v>
      </c>
      <c r="S75" s="9">
        <f>X75*'PAG20 FE GE'!$E$2+Y75*'PAG20 FE GE'!$E$3+Z75*'PAG20 FE GE'!$E$4</f>
        <v>2518.608492288</v>
      </c>
      <c r="T75" s="9">
        <f>X75*'PAG100 FE GE'!$D$2+Y75*'PAG100 FE GE'!$D$3+Z75*'PAG100 FE GE'!$D$4</f>
        <v>2497.8525415200002</v>
      </c>
      <c r="U75" s="9">
        <f>X75*'PAG20 FE GE'!$D$2+Y75*'PAG20 FE GE'!$D$3+Z75*'PAG20 FE GE'!$D$4</f>
        <v>2519.7546183600002</v>
      </c>
      <c r="V75" s="9">
        <f>X75*'PAG100 FE GE'!$C$2+Y75*'PAG100 FE GE'!$C$3+Z75*'PAG100 FE GE'!$C$4</f>
        <v>2497.8579217200004</v>
      </c>
      <c r="W75" s="9">
        <f>X75*'PAG20 FE GE'!$C$2+Y75*'PAG20 FE GE'!$C$3+Z75*'PAG20 FE GE'!$C$4</f>
        <v>2515.6301570400001</v>
      </c>
      <c r="X75" s="9">
        <f t="shared" si="36"/>
        <v>2477.7614400000002</v>
      </c>
      <c r="Y75" s="9">
        <f t="shared" si="37"/>
        <v>0.38486364000000006</v>
      </c>
      <c r="Z75" s="9">
        <f t="shared" si="38"/>
        <v>3.5150640000000004E-2</v>
      </c>
      <c r="AA75" s="9">
        <f>AG75*'PAG100 FE GE'!$E$2+AH75*'PAG100 FE GE'!$E$3+AI75*'PAG100 FE GE'!$E$4</f>
        <v>500.00980500000003</v>
      </c>
      <c r="AB75" s="9">
        <f>AG75*'PAG20 FE GE'!$E$2+AH75*'PAG20 FE GE'!$E$3+AI75*'PAG20 FE GE'!$E$4</f>
        <v>504.11657000000002</v>
      </c>
      <c r="AC75" s="9">
        <f>AG75*'PAG100 FE GE'!$D$2+AH75*'PAG100 FE GE'!$D$3+AI75*'PAG100 FE GE'!$D$4</f>
        <v>499.96095000000003</v>
      </c>
      <c r="AD75" s="9">
        <f>AG75*'PAG20 FE GE'!$D$2+AH75*'PAG20 FE GE'!$D$3+AI75*'PAG20 FE GE'!$D$4</f>
        <v>504.34573</v>
      </c>
      <c r="AE75" s="9">
        <f>AG75*'PAG100 FE GE'!$C$2+AH75*'PAG100 FE GE'!$C$3+AI75*'PAG100 FE GE'!$C$4</f>
        <v>499.96310999999997</v>
      </c>
      <c r="AF75" s="9">
        <f>AG75*'PAG20 FE GE'!$C$2+AH75*'PAG20 FE GE'!$C$3+AI75*'PAG20 FE GE'!$C$4</f>
        <v>503.52082999999999</v>
      </c>
      <c r="AG75" s="9">
        <v>495.93</v>
      </c>
      <c r="AH75" s="9">
        <f>77.05/1000</f>
        <v>7.7049999999999993E-2</v>
      </c>
      <c r="AI75" s="9">
        <f>7.07/1000</f>
        <v>7.0699999999999999E-3</v>
      </c>
      <c r="AJ75" s="13">
        <f t="shared" si="39"/>
        <v>20.015244082578022</v>
      </c>
      <c r="AK75" t="s">
        <v>424</v>
      </c>
      <c r="AL75" t="s">
        <v>790</v>
      </c>
    </row>
    <row r="76" spans="1:38" ht="15.75" thickBot="1" x14ac:dyDescent="0.3">
      <c r="A76" s="4" t="s">
        <v>46</v>
      </c>
      <c r="B76" s="7" t="s">
        <v>79</v>
      </c>
      <c r="C76" s="5" t="s">
        <v>3</v>
      </c>
      <c r="D76" s="6" t="s">
        <v>9</v>
      </c>
      <c r="E76" s="6" t="str">
        <f t="shared" si="35"/>
        <v>Pesado de Mercadorias N3: &lt;20 t : Gasóleo : E2</v>
      </c>
      <c r="F76" s="6" t="s">
        <v>55</v>
      </c>
      <c r="G76" s="6" t="s">
        <v>96</v>
      </c>
      <c r="H76" s="9">
        <f>IF(G76="MJ",INDEX(Tabela1[Energia (MJ/Qtd.)],MATCH(C76,Tabela1[Fuel],0)),IF(G76="GJ",INDEX(Tabela1[Energia (GJ/Qtd.)2],MATCH(C76,Tabela1[Fuel],0)),"XXX"))</f>
        <v>3.5868000000000004E-2</v>
      </c>
      <c r="I76" s="9">
        <f>O76*'PAG100 FE GE'!$E$2+P76*'PAG100 FE GE'!$E$3+Q76*'PAG100 FE GE'!$E$4</f>
        <v>69567.631999999998</v>
      </c>
      <c r="J76" s="9">
        <f>O76*'PAG20 FE GE'!$E$2+P76*'PAG20 FE GE'!$E$3+Q76*'PAG20 FE GE'!$E$4</f>
        <v>70008.955999999991</v>
      </c>
      <c r="K76" s="9">
        <f>O76*'PAG100 FE GE'!$D$2+P76*'PAG100 FE GE'!$D$3+Q76*'PAG100 FE GE'!$D$4</f>
        <v>69560.94</v>
      </c>
      <c r="L76" s="9">
        <f>O76*'PAG20 FE GE'!$D$2+P76*'PAG20 FE GE'!$D$3+Q76*'PAG20 FE GE'!$D$4</f>
        <v>70031.960000000006</v>
      </c>
      <c r="M76" s="9">
        <f>O76*'PAG100 FE GE'!$C$2+P76*'PAG100 FE GE'!$C$3+Q76*'PAG100 FE GE'!$C$4</f>
        <v>69567.12</v>
      </c>
      <c r="N76" s="9">
        <f>O76*'PAG20 FE GE'!$C$2+P76*'PAG20 FE GE'!$C$3+Q76*'PAG20 FE GE'!$C$4</f>
        <v>69947.820000000007</v>
      </c>
      <c r="O76" s="9">
        <f>69.08*1000</f>
        <v>69080</v>
      </c>
      <c r="P76" s="9">
        <f>0.00828*1000</f>
        <v>8.2799999999999994</v>
      </c>
      <c r="Q76" s="9">
        <f>0.00094*1000</f>
        <v>0.94</v>
      </c>
      <c r="R76" s="9">
        <f>X76*'PAG100 FE GE'!$E$2+Y76*'PAG100 FE GE'!$E$3+Z76*'PAG100 FE GE'!$E$4</f>
        <v>2495.2518245760002</v>
      </c>
      <c r="S76" s="9">
        <f>X76*'PAG20 FE GE'!$E$2+Y76*'PAG20 FE GE'!$E$3+Z76*'PAG20 FE GE'!$E$4</f>
        <v>2511.081233808</v>
      </c>
      <c r="T76" s="9">
        <f>X76*'PAG100 FE GE'!$D$2+Y76*'PAG100 FE GE'!$D$3+Z76*'PAG100 FE GE'!$D$4</f>
        <v>2495.0117959200002</v>
      </c>
      <c r="U76" s="9">
        <f>X76*'PAG20 FE GE'!$D$2+Y76*'PAG20 FE GE'!$D$3+Z76*'PAG20 FE GE'!$D$4</f>
        <v>2511.9063412800001</v>
      </c>
      <c r="V76" s="9">
        <f>X76*'PAG100 FE GE'!$C$2+Y76*'PAG100 FE GE'!$C$3+Z76*'PAG100 FE GE'!$C$4</f>
        <v>2495.2334601600005</v>
      </c>
      <c r="W76" s="9">
        <f>X76*'PAG20 FE GE'!$C$2+Y76*'PAG20 FE GE'!$C$3+Z76*'PAG20 FE GE'!$C$4</f>
        <v>2508.8884077600005</v>
      </c>
      <c r="X76" s="9">
        <f t="shared" si="36"/>
        <v>2477.7614400000002</v>
      </c>
      <c r="Y76" s="9">
        <f t="shared" si="37"/>
        <v>0.29698704000000004</v>
      </c>
      <c r="Z76" s="9">
        <f t="shared" si="38"/>
        <v>3.3715920000000003E-2</v>
      </c>
      <c r="AA76" s="9">
        <f>AG76*'PAG100 FE GE'!$E$2+AH76*'PAG100 FE GE'!$E$3+AI76*'PAG100 FE GE'!$E$4</f>
        <v>489.84600200000006</v>
      </c>
      <c r="AB76" s="9">
        <f>AG76*'PAG20 FE GE'!$E$2+AH76*'PAG20 FE GE'!$E$3+AI76*'PAG20 FE GE'!$E$4</f>
        <v>492.95232600000003</v>
      </c>
      <c r="AC76" s="9">
        <f>AG76*'PAG100 FE GE'!$D$2+AH76*'PAG100 FE GE'!$D$3+AI76*'PAG100 FE GE'!$D$4</f>
        <v>489.79879000000005</v>
      </c>
      <c r="AD76" s="9">
        <f>AG76*'PAG20 FE GE'!$D$2+AH76*'PAG20 FE GE'!$D$3+AI76*'PAG20 FE GE'!$D$4</f>
        <v>493.11412000000001</v>
      </c>
      <c r="AE76" s="9">
        <f>AG76*'PAG100 FE GE'!$C$2+AH76*'PAG100 FE GE'!$C$3+AI76*'PAG100 FE GE'!$C$4</f>
        <v>489.84273999999999</v>
      </c>
      <c r="AF76" s="9">
        <f>AG76*'PAG20 FE GE'!$C$2+AH76*'PAG20 FE GE'!$C$3+AI76*'PAG20 FE GE'!$C$4</f>
        <v>492.52223000000004</v>
      </c>
      <c r="AG76" s="9">
        <v>486.41</v>
      </c>
      <c r="AH76" s="9">
        <f>58.28/1000</f>
        <v>5.8279999999999998E-2</v>
      </c>
      <c r="AI76" s="9">
        <f>6.63/1000</f>
        <v>6.6299999999999996E-3</v>
      </c>
      <c r="AJ76" s="13">
        <f t="shared" si="39"/>
        <v>19.63102630251603</v>
      </c>
      <c r="AK76" t="s">
        <v>424</v>
      </c>
      <c r="AL76" t="s">
        <v>790</v>
      </c>
    </row>
    <row r="77" spans="1:38" ht="15.75" thickBot="1" x14ac:dyDescent="0.3">
      <c r="A77" s="4" t="s">
        <v>46</v>
      </c>
      <c r="B77" s="7" t="s">
        <v>79</v>
      </c>
      <c r="C77" s="5" t="s">
        <v>3</v>
      </c>
      <c r="D77" s="6" t="s">
        <v>10</v>
      </c>
      <c r="E77" s="6" t="str">
        <f t="shared" si="35"/>
        <v>Pesado de Mercadorias N3: &lt;20 t : Gasóleo : E3</v>
      </c>
      <c r="F77" s="6" t="s">
        <v>55</v>
      </c>
      <c r="G77" s="6" t="s">
        <v>96</v>
      </c>
      <c r="H77" s="9">
        <f>IF(G77="MJ",INDEX(Tabela1[Energia (MJ/Qtd.)],MATCH(C77,Tabela1[Fuel],0)),IF(G77="GJ",INDEX(Tabela1[Energia (GJ/Qtd.)2],MATCH(C77,Tabela1[Fuel],0)),"XXX"))</f>
        <v>3.5868000000000004E-2</v>
      </c>
      <c r="I77" s="9">
        <f>O77*'PAG100 FE GE'!$E$2+P77*'PAG100 FE GE'!$E$3+Q77*'PAG100 FE GE'!$E$4</f>
        <v>69453.513999999996</v>
      </c>
      <c r="J77" s="9">
        <f>O77*'PAG20 FE GE'!$E$2+P77*'PAG20 FE GE'!$E$3+Q77*'PAG20 FE GE'!$E$4</f>
        <v>69909.762000000002</v>
      </c>
      <c r="K77" s="9">
        <f>O77*'PAG100 FE GE'!$D$2+P77*'PAG100 FE GE'!$D$3+Q77*'PAG100 FE GE'!$D$4</f>
        <v>69450.12999999999</v>
      </c>
      <c r="L77" s="9">
        <f>O77*'PAG20 FE GE'!$D$2+P77*'PAG20 FE GE'!$D$3+Q77*'PAG20 FE GE'!$D$4</f>
        <v>69937.52</v>
      </c>
      <c r="M77" s="9">
        <f>O77*'PAG100 FE GE'!$C$2+P77*'PAG100 FE GE'!$C$3+Q77*'PAG100 FE GE'!$C$4</f>
        <v>69441.94</v>
      </c>
      <c r="N77" s="9">
        <f>O77*'PAG20 FE GE'!$C$2+P77*'PAG20 FE GE'!$C$3+Q77*'PAG20 FE GE'!$C$4</f>
        <v>69839.490000000005</v>
      </c>
      <c r="O77" s="9">
        <f>69.07*1000</f>
        <v>69070</v>
      </c>
      <c r="P77" s="9">
        <f>0.00856*1000</f>
        <v>8.56</v>
      </c>
      <c r="Q77" s="9">
        <f>0.00053*1000</f>
        <v>0.53</v>
      </c>
      <c r="R77" s="9">
        <f>X77*'PAG100 FE GE'!$E$2+Y77*'PAG100 FE GE'!$E$3+Z77*'PAG100 FE GE'!$E$4</f>
        <v>2491.1586401520003</v>
      </c>
      <c r="S77" s="9">
        <f>X77*'PAG20 FE GE'!$E$2+Y77*'PAG20 FE GE'!$E$3+Z77*'PAG20 FE GE'!$E$4</f>
        <v>2507.5233434160004</v>
      </c>
      <c r="T77" s="9">
        <f>X77*'PAG100 FE GE'!$D$2+Y77*'PAG100 FE GE'!$D$3+Z77*'PAG100 FE GE'!$D$4</f>
        <v>2491.0372628400005</v>
      </c>
      <c r="U77" s="9">
        <f>X77*'PAG20 FE GE'!$D$2+Y77*'PAG20 FE GE'!$D$3+Z77*'PAG20 FE GE'!$D$4</f>
        <v>2508.5189673600003</v>
      </c>
      <c r="V77" s="9">
        <f>X77*'PAG100 FE GE'!$C$2+Y77*'PAG100 FE GE'!$C$3+Z77*'PAG100 FE GE'!$C$4</f>
        <v>2490.7435039200004</v>
      </c>
      <c r="W77" s="9">
        <f>X77*'PAG20 FE GE'!$C$2+Y77*'PAG20 FE GE'!$C$3+Z77*'PAG20 FE GE'!$C$4</f>
        <v>2505.0028273200001</v>
      </c>
      <c r="X77" s="9">
        <f t="shared" si="36"/>
        <v>2477.4027600000004</v>
      </c>
      <c r="Y77" s="9">
        <f t="shared" si="37"/>
        <v>0.30703008000000004</v>
      </c>
      <c r="Z77" s="9">
        <f t="shared" si="38"/>
        <v>1.9010040000000002E-2</v>
      </c>
      <c r="AA77" s="9">
        <f>AG77*'PAG100 FE GE'!$E$2+AH77*'PAG100 FE GE'!$E$3+AI77*'PAG100 FE GE'!$E$4</f>
        <v>552.00090610000007</v>
      </c>
      <c r="AB77" s="9">
        <f>AG77*'PAG20 FE GE'!$E$2+AH77*'PAG20 FE GE'!$E$3+AI77*'PAG20 FE GE'!$E$4</f>
        <v>555.6284508</v>
      </c>
      <c r="AC77" s="9">
        <f>AG77*'PAG100 FE GE'!$D$2+AH77*'PAG100 FE GE'!$D$3+AI77*'PAG100 FE GE'!$D$4</f>
        <v>551.97395200000005</v>
      </c>
      <c r="AD77" s="9">
        <f>AG77*'PAG20 FE GE'!$D$2+AH77*'PAG20 FE GE'!$D$3+AI77*'PAG20 FE GE'!$D$4</f>
        <v>555.84909500000003</v>
      </c>
      <c r="AE77" s="9">
        <f>AG77*'PAG100 FE GE'!$C$2+AH77*'PAG100 FE GE'!$C$3+AI77*'PAG100 FE GE'!$C$4</f>
        <v>551.90903500000002</v>
      </c>
      <c r="AF77" s="9">
        <f>AG77*'PAG20 FE GE'!$C$2+AH77*'PAG20 FE GE'!$C$3+AI77*'PAG20 FE GE'!$C$4</f>
        <v>555.06982800000003</v>
      </c>
      <c r="AG77" s="9">
        <v>548.95000000000005</v>
      </c>
      <c r="AH77" s="9">
        <f>68.059/1000</f>
        <v>6.8058999999999995E-2</v>
      </c>
      <c r="AI77" s="9">
        <f>4.22/1000</f>
        <v>4.2199999999999998E-3</v>
      </c>
      <c r="AJ77" s="13">
        <f t="shared" si="39"/>
        <v>22.158286446730202</v>
      </c>
      <c r="AK77" t="s">
        <v>424</v>
      </c>
      <c r="AL77" t="s">
        <v>790</v>
      </c>
    </row>
    <row r="78" spans="1:38" ht="15.75" thickBot="1" x14ac:dyDescent="0.3">
      <c r="A78" s="4" t="s">
        <v>46</v>
      </c>
      <c r="B78" s="7" t="s">
        <v>79</v>
      </c>
      <c r="C78" s="5" t="s">
        <v>3</v>
      </c>
      <c r="D78" s="6" t="s">
        <v>4</v>
      </c>
      <c r="E78" s="6" t="str">
        <f t="shared" si="35"/>
        <v>Pesado de Mercadorias N3: &lt;20 t : Gasóleo : E4</v>
      </c>
      <c r="F78" s="6" t="s">
        <v>55</v>
      </c>
      <c r="G78" s="6" t="s">
        <v>96</v>
      </c>
      <c r="H78" s="9">
        <f>IF(G78="MJ",INDEX(Tabela1[Energia (MJ/Qtd.)],MATCH(C78,Tabela1[Fuel],0)),IF(G78="GJ",INDEX(Tabela1[Energia (GJ/Qtd.)2],MATCH(C78,Tabela1[Fuel],0)),"XXX"))</f>
        <v>3.5868000000000004E-2</v>
      </c>
      <c r="I78" s="9">
        <f>O78*'PAG100 FE GE'!$E$2+P78*'PAG100 FE GE'!$E$3+Q78*'PAG100 FE GE'!$E$4</f>
        <v>69827.491999999998</v>
      </c>
      <c r="J78" s="9">
        <f>O78*'PAG20 FE GE'!$E$2+P78*'PAG20 FE GE'!$E$3+Q78*'PAG20 FE GE'!$E$4</f>
        <v>69858.406000000003</v>
      </c>
      <c r="K78" s="9">
        <f>O78*'PAG100 FE GE'!$D$2+P78*'PAG100 FE GE'!$D$3+Q78*'PAG100 FE GE'!$D$4</f>
        <v>69815.790000000008</v>
      </c>
      <c r="L78" s="9">
        <f>O78*'PAG20 FE GE'!$D$2+P78*'PAG20 FE GE'!$D$3+Q78*'PAG20 FE GE'!$D$4</f>
        <v>69847.38</v>
      </c>
      <c r="M78" s="9">
        <f>O78*'PAG100 FE GE'!$C$2+P78*'PAG100 FE GE'!$C$3+Q78*'PAG100 FE GE'!$C$4</f>
        <v>69862.559999999998</v>
      </c>
      <c r="N78" s="9">
        <f>O78*'PAG20 FE GE'!$C$2+P78*'PAG20 FE GE'!$C$3+Q78*'PAG20 FE GE'!$C$4</f>
        <v>69876.59</v>
      </c>
      <c r="O78" s="9">
        <f>69.41*1000</f>
        <v>69410</v>
      </c>
      <c r="P78" s="9">
        <f>0.00058*1000</f>
        <v>0.57999999999999996</v>
      </c>
      <c r="Q78" s="9">
        <f>0.00147*1000</f>
        <v>1.47</v>
      </c>
      <c r="R78" s="9">
        <f>X78*'PAG100 FE GE'!$E$2+Y78*'PAG100 FE GE'!$E$3+Z78*'PAG100 FE GE'!$E$4</f>
        <v>2504.5724830560002</v>
      </c>
      <c r="S78" s="9">
        <f>X78*'PAG20 FE GE'!$E$2+Y78*'PAG20 FE GE'!$E$3+Z78*'PAG20 FE GE'!$E$4</f>
        <v>2505.6813064080002</v>
      </c>
      <c r="T78" s="9">
        <f>X78*'PAG100 FE GE'!$D$2+Y78*'PAG100 FE GE'!$D$3+Z78*'PAG100 FE GE'!$D$4</f>
        <v>2504.1527557200002</v>
      </c>
      <c r="U78" s="9">
        <f>X78*'PAG20 FE GE'!$D$2+Y78*'PAG20 FE GE'!$D$3+Z78*'PAG20 FE GE'!$D$4</f>
        <v>2505.2858258400001</v>
      </c>
      <c r="V78" s="9">
        <f>X78*'PAG100 FE GE'!$C$2+Y78*'PAG100 FE GE'!$C$3+Z78*'PAG100 FE GE'!$C$4</f>
        <v>2505.8303020800004</v>
      </c>
      <c r="W78" s="9">
        <f>X78*'PAG20 FE GE'!$C$2+Y78*'PAG20 FE GE'!$C$3+Z78*'PAG20 FE GE'!$C$4</f>
        <v>2506.3335301200004</v>
      </c>
      <c r="X78" s="9">
        <f t="shared" si="36"/>
        <v>2489.5978800000003</v>
      </c>
      <c r="Y78" s="9">
        <f t="shared" si="37"/>
        <v>2.0803439999999999E-2</v>
      </c>
      <c r="Z78" s="9">
        <f t="shared" si="38"/>
        <v>5.2725960000000002E-2</v>
      </c>
      <c r="AA78" s="9">
        <f>AG78*'PAG100 FE GE'!$E$2+AH78*'PAG100 FE GE'!$E$3+AI78*'PAG100 FE GE'!$E$4</f>
        <v>539.1368579</v>
      </c>
      <c r="AB78" s="9">
        <f>AG78*'PAG20 FE GE'!$E$2+AH78*'PAG20 FE GE'!$E$3+AI78*'PAG20 FE GE'!$E$4</f>
        <v>539.37676119999992</v>
      </c>
      <c r="AC78" s="9">
        <f>AG78*'PAG100 FE GE'!$D$2+AH78*'PAG100 FE GE'!$D$3+AI78*'PAG100 FE GE'!$D$4</f>
        <v>539.04642799999999</v>
      </c>
      <c r="AD78" s="9">
        <f>AG78*'PAG20 FE GE'!$D$2+AH78*'PAG20 FE GE'!$D$3+AI78*'PAG20 FE GE'!$D$4</f>
        <v>539.29162499999995</v>
      </c>
      <c r="AE78" s="9">
        <f>AG78*'PAG100 FE GE'!$C$2+AH78*'PAG100 FE GE'!$C$3+AI78*'PAG100 FE GE'!$C$4</f>
        <v>539.40780499999994</v>
      </c>
      <c r="AF78" s="9">
        <f>AG78*'PAG20 FE GE'!$C$2+AH78*'PAG20 FE GE'!$C$3+AI78*'PAG20 FE GE'!$C$4</f>
        <v>539.517112</v>
      </c>
      <c r="AG78" s="9">
        <v>535.91</v>
      </c>
      <c r="AH78" s="9">
        <f>4.501/1000</f>
        <v>4.5010000000000007E-3</v>
      </c>
      <c r="AI78" s="9">
        <f>11.36/1000</f>
        <v>1.1359999999999999E-2</v>
      </c>
      <c r="AJ78" s="13">
        <f t="shared" si="39"/>
        <v>21.525966273718065</v>
      </c>
      <c r="AK78" t="s">
        <v>424</v>
      </c>
      <c r="AL78" t="s">
        <v>790</v>
      </c>
    </row>
    <row r="79" spans="1:38" ht="15.75" thickBot="1" x14ac:dyDescent="0.3">
      <c r="A79" s="4" t="s">
        <v>46</v>
      </c>
      <c r="B79" s="7" t="s">
        <v>79</v>
      </c>
      <c r="C79" s="5" t="s">
        <v>3</v>
      </c>
      <c r="D79" s="6" t="s">
        <v>5</v>
      </c>
      <c r="E79" s="6" t="str">
        <f t="shared" si="35"/>
        <v>Pesado de Mercadorias N3: &lt;20 t : Gasóleo : E5</v>
      </c>
      <c r="F79" s="6" t="s">
        <v>55</v>
      </c>
      <c r="G79" s="6" t="s">
        <v>96</v>
      </c>
      <c r="H79" s="9">
        <f>IF(G79="MJ",INDEX(Tabela1[Energia (MJ/Qtd.)],MATCH(C79,Tabela1[Fuel],0)),IF(G79="GJ",INDEX(Tabela1[Energia (GJ/Qtd.)2],MATCH(C79,Tabela1[Fuel],0)),"XXX"))</f>
        <v>3.5868000000000004E-2</v>
      </c>
      <c r="I79" s="9">
        <f>O79*'PAG100 FE GE'!$E$2+P79*'PAG100 FE GE'!$E$3+Q79*'PAG100 FE GE'!$E$4</f>
        <v>70617.577999999994</v>
      </c>
      <c r="J79" s="9">
        <f>O79*'PAG20 FE GE'!$E$2+P79*'PAG20 FE GE'!$E$3+Q79*'PAG20 FE GE'!$E$4</f>
        <v>70650.623999999996</v>
      </c>
      <c r="K79" s="9">
        <f>O79*'PAG100 FE GE'!$D$2+P79*'PAG100 FE GE'!$D$3+Q79*'PAG100 FE GE'!$D$4</f>
        <v>70582.759999999995</v>
      </c>
      <c r="L79" s="9">
        <f>O79*'PAG20 FE GE'!$D$2+P79*'PAG20 FE GE'!$D$3+Q79*'PAG20 FE GE'!$D$4</f>
        <v>70613.739999999991</v>
      </c>
      <c r="M79" s="9">
        <f>O79*'PAG100 FE GE'!$C$2+P79*'PAG100 FE GE'!$C$3+Q79*'PAG100 FE GE'!$C$4</f>
        <v>70724.78</v>
      </c>
      <c r="N79" s="9">
        <f>O79*'PAG20 FE GE'!$C$2+P79*'PAG20 FE GE'!$C$3+Q79*'PAG20 FE GE'!$C$4</f>
        <v>70714.679999999993</v>
      </c>
      <c r="O79" s="9">
        <f>69.41*1000</f>
        <v>69410</v>
      </c>
      <c r="P79" s="9">
        <f>0.00062*1000</f>
        <v>0.62</v>
      </c>
      <c r="Q79" s="9">
        <f>0.00436*1000</f>
        <v>4.3600000000000003</v>
      </c>
      <c r="R79" s="9">
        <f>X79*'PAG100 FE GE'!$E$2+Y79*'PAG100 FE GE'!$E$3+Z79*'PAG100 FE GE'!$E$4</f>
        <v>2532.9112877040002</v>
      </c>
      <c r="S79" s="9">
        <f>X79*'PAG20 FE GE'!$E$2+Y79*'PAG20 FE GE'!$E$3+Z79*'PAG20 FE GE'!$E$4</f>
        <v>2534.0965816320004</v>
      </c>
      <c r="T79" s="9">
        <f>X79*'PAG100 FE GE'!$D$2+Y79*'PAG100 FE GE'!$D$3+Z79*'PAG100 FE GE'!$D$4</f>
        <v>2531.6624356800003</v>
      </c>
      <c r="U79" s="9">
        <f>X79*'PAG20 FE GE'!$D$2+Y79*'PAG20 FE GE'!$D$3+Z79*'PAG20 FE GE'!$D$4</f>
        <v>2532.7736263199999</v>
      </c>
      <c r="V79" s="9">
        <f>X79*'PAG100 FE GE'!$C$2+Y79*'PAG100 FE GE'!$C$3+Z79*'PAG100 FE GE'!$C$4</f>
        <v>2536.7564090400001</v>
      </c>
      <c r="W79" s="9">
        <f>X79*'PAG20 FE GE'!$C$2+Y79*'PAG20 FE GE'!$C$3+Z79*'PAG20 FE GE'!$C$4</f>
        <v>2536.3941422400003</v>
      </c>
      <c r="X79" s="9">
        <f t="shared" si="36"/>
        <v>2489.5978800000003</v>
      </c>
      <c r="Y79" s="9">
        <f t="shared" si="37"/>
        <v>2.2238160000000003E-2</v>
      </c>
      <c r="Z79" s="9">
        <f t="shared" si="38"/>
        <v>0.15638448000000002</v>
      </c>
      <c r="AA79" s="9">
        <f>AG79*'PAG100 FE GE'!$E$2+AH79*'PAG100 FE GE'!$E$3+AI79*'PAG100 FE GE'!$E$4</f>
        <v>531.07803330000002</v>
      </c>
      <c r="AB79" s="9">
        <f>AG79*'PAG20 FE GE'!$E$2+AH79*'PAG20 FE GE'!$E$3+AI79*'PAG20 FE GE'!$E$4</f>
        <v>531.32465239999999</v>
      </c>
      <c r="AC79" s="9">
        <f>AG79*'PAG100 FE GE'!$D$2+AH79*'PAG100 FE GE'!$D$3+AI79*'PAG100 FE GE'!$D$4</f>
        <v>530.81625599999995</v>
      </c>
      <c r="AD79" s="9">
        <f>AG79*'PAG20 FE GE'!$D$2+AH79*'PAG20 FE GE'!$D$3+AI79*'PAG20 FE GE'!$D$4</f>
        <v>531.04721499999994</v>
      </c>
      <c r="AE79" s="9">
        <f>AG79*'PAG100 FE GE'!$C$2+AH79*'PAG100 FE GE'!$C$3+AI79*'PAG100 FE GE'!$C$4</f>
        <v>531.88411500000007</v>
      </c>
      <c r="AF79" s="9">
        <f>AG79*'PAG20 FE GE'!$C$2+AH79*'PAG20 FE GE'!$C$3+AI79*'PAG20 FE GE'!$C$4</f>
        <v>531.80656399999998</v>
      </c>
      <c r="AG79" s="9">
        <v>522</v>
      </c>
      <c r="AH79" s="9">
        <f>4.627/1000</f>
        <v>4.627E-3</v>
      </c>
      <c r="AI79" s="9">
        <f>32.78/1000</f>
        <v>3.2780000000000004E-2</v>
      </c>
      <c r="AJ79" s="13">
        <f t="shared" si="39"/>
        <v>20.967241504881098</v>
      </c>
      <c r="AK79" t="s">
        <v>424</v>
      </c>
      <c r="AL79" t="s">
        <v>790</v>
      </c>
    </row>
    <row r="80" spans="1:38" ht="15.75" thickBot="1" x14ac:dyDescent="0.3">
      <c r="A80" s="4" t="s">
        <v>46</v>
      </c>
      <c r="B80" s="7" t="s">
        <v>79</v>
      </c>
      <c r="C80" s="5" t="s">
        <v>3</v>
      </c>
      <c r="D80" s="6" t="s">
        <v>6</v>
      </c>
      <c r="E80" s="6" t="str">
        <f t="shared" si="35"/>
        <v>Pesado de Mercadorias N3: &lt;20 t : Gasóleo : E6</v>
      </c>
      <c r="F80" s="6" t="s">
        <v>55</v>
      </c>
      <c r="G80" s="6" t="s">
        <v>96</v>
      </c>
      <c r="H80" s="9">
        <f>IF(G80="MJ",INDEX(Tabela1[Energia (MJ/Qtd.)],MATCH(C80,Tabela1[Fuel],0)),IF(G80="GJ",INDEX(Tabela1[Energia (GJ/Qtd.)2],MATCH(C80,Tabela1[Fuel],0)),"XXX"))</f>
        <v>3.5868000000000004E-2</v>
      </c>
      <c r="I80" s="9">
        <f>O80*'PAG100 FE GE'!$E$2+P80*'PAG100 FE GE'!$E$3+Q80*'PAG100 FE GE'!$E$4</f>
        <v>70534.847999999998</v>
      </c>
      <c r="J80" s="9">
        <f>O80*'PAG20 FE GE'!$E$2+P80*'PAG20 FE GE'!$E$3+Q80*'PAG20 FE GE'!$E$4</f>
        <v>70567.894</v>
      </c>
      <c r="K80" s="9">
        <f>O80*'PAG100 FE GE'!$D$2+P80*'PAG100 FE GE'!$D$3+Q80*'PAG100 FE GE'!$D$4</f>
        <v>70500.11</v>
      </c>
      <c r="L80" s="9">
        <f>O80*'PAG20 FE GE'!$D$2+P80*'PAG20 FE GE'!$D$3+Q80*'PAG20 FE GE'!$D$4</f>
        <v>70531.099999999991</v>
      </c>
      <c r="M80" s="9">
        <f>O80*'PAG100 FE GE'!$C$2+P80*'PAG100 FE GE'!$C$3+Q80*'PAG100 FE GE'!$C$4</f>
        <v>70641.8</v>
      </c>
      <c r="N80" s="9">
        <f>O80*'PAG20 FE GE'!$C$2+P80*'PAG20 FE GE'!$C$3+Q80*'PAG20 FE GE'!$C$4</f>
        <v>70631.789999999994</v>
      </c>
      <c r="O80" s="9">
        <f>69.33*1000</f>
        <v>69330</v>
      </c>
      <c r="P80" s="9">
        <f>0.00062*1000</f>
        <v>0.62</v>
      </c>
      <c r="Q80" s="9">
        <f>0.00435*1000</f>
        <v>4.3499999999999996</v>
      </c>
      <c r="R80" s="9">
        <f>X80*'PAG100 FE GE'!$E$2+Y80*'PAG100 FE GE'!$E$3+Z80*'PAG100 FE GE'!$E$4</f>
        <v>2529.9439280640004</v>
      </c>
      <c r="S80" s="9">
        <f>X80*'PAG20 FE GE'!$E$2+Y80*'PAG20 FE GE'!$E$3+Z80*'PAG20 FE GE'!$E$4</f>
        <v>2531.1292219920006</v>
      </c>
      <c r="T80" s="9">
        <f>X80*'PAG100 FE GE'!$D$2+Y80*'PAG100 FE GE'!$D$3+Z80*'PAG100 FE GE'!$D$4</f>
        <v>2528.6979454800003</v>
      </c>
      <c r="U80" s="9">
        <f>X80*'PAG20 FE GE'!$D$2+Y80*'PAG20 FE GE'!$D$3+Z80*'PAG20 FE GE'!$D$4</f>
        <v>2529.8094948000003</v>
      </c>
      <c r="V80" s="9">
        <f>X80*'PAG100 FE GE'!$C$2+Y80*'PAG100 FE GE'!$C$3+Z80*'PAG100 FE GE'!$C$4</f>
        <v>2533.7800824000001</v>
      </c>
      <c r="W80" s="9">
        <f>X80*'PAG20 FE GE'!$C$2+Y80*'PAG20 FE GE'!$C$3+Z80*'PAG20 FE GE'!$C$4</f>
        <v>2533.4210437199999</v>
      </c>
      <c r="X80" s="9">
        <f t="shared" si="36"/>
        <v>2486.7284400000003</v>
      </c>
      <c r="Y80" s="9">
        <f t="shared" si="37"/>
        <v>2.2238160000000003E-2</v>
      </c>
      <c r="Z80" s="9">
        <f t="shared" si="38"/>
        <v>0.15602579999999999</v>
      </c>
      <c r="AA80" s="9">
        <f>AG80*'PAG100 FE GE'!$E$2+AH80*'PAG100 FE GE'!$E$3+AI80*'PAG100 FE GE'!$E$4</f>
        <v>535.75077099999999</v>
      </c>
      <c r="AB80" s="9">
        <f>AG80*'PAG20 FE GE'!$E$2+AH80*'PAG20 FE GE'!$E$3+AI80*'PAG20 FE GE'!$E$4</f>
        <v>536.00074799999993</v>
      </c>
      <c r="AC80" s="9">
        <f>AG80*'PAG100 FE GE'!$D$2+AH80*'PAG100 FE GE'!$D$3+AI80*'PAG100 FE GE'!$D$4</f>
        <v>535.48691999999994</v>
      </c>
      <c r="AD80" s="9">
        <f>AG80*'PAG20 FE GE'!$D$2+AH80*'PAG20 FE GE'!$D$3+AI80*'PAG20 FE GE'!$D$4</f>
        <v>535.72121000000004</v>
      </c>
      <c r="AE80" s="9">
        <f>AG80*'PAG100 FE GE'!$C$2+AH80*'PAG100 FE GE'!$C$3+AI80*'PAG100 FE GE'!$C$4</f>
        <v>536.56317000000001</v>
      </c>
      <c r="AF80" s="9">
        <f>AG80*'PAG20 FE GE'!$C$2+AH80*'PAG20 FE GE'!$C$3+AI80*'PAG20 FE GE'!$C$4</f>
        <v>536.48623999999995</v>
      </c>
      <c r="AG80" s="9">
        <v>526.6</v>
      </c>
      <c r="AH80" s="9">
        <f>4.69/1000</f>
        <v>4.6900000000000006E-3</v>
      </c>
      <c r="AI80" s="9">
        <f>33.04/1000</f>
        <v>3.304E-2</v>
      </c>
      <c r="AJ80" s="13">
        <f t="shared" si="39"/>
        <v>21.17641763891195</v>
      </c>
      <c r="AK80" t="s">
        <v>424</v>
      </c>
      <c r="AL80" t="s">
        <v>790</v>
      </c>
    </row>
    <row r="81" spans="1:38" ht="15.75" thickBot="1" x14ac:dyDescent="0.3">
      <c r="A81" s="4" t="s">
        <v>46</v>
      </c>
      <c r="B81" s="7" t="s">
        <v>79</v>
      </c>
      <c r="C81" s="5" t="s">
        <v>3</v>
      </c>
      <c r="D81" s="6" t="s">
        <v>81</v>
      </c>
      <c r="E81" s="6" t="str">
        <f t="shared" si="35"/>
        <v>Pesado de Mercadorias N3: &lt;20 t : Gasóleo : E6 D/E E7</v>
      </c>
      <c r="F81" s="6" t="s">
        <v>55</v>
      </c>
      <c r="G81" s="6" t="s">
        <v>96</v>
      </c>
      <c r="H81" s="9">
        <f>IF(G81="MJ",INDEX(Tabela1[Energia (MJ/Qtd.)],MATCH(C81,Tabela1[Fuel],0)),IF(G81="GJ",INDEX(Tabela1[Energia (GJ/Qtd.)2],MATCH(C81,Tabela1[Fuel],0)),"XXX"))</f>
        <v>3.5868000000000004E-2</v>
      </c>
      <c r="I81" s="9">
        <f>O81*'PAG100 FE GE'!$E$2+P81*'PAG100 FE GE'!$E$3+Q81*'PAG100 FE GE'!$E$4</f>
        <v>70534.847999999998</v>
      </c>
      <c r="J81" s="9">
        <f>O81*'PAG20 FE GE'!$E$2+P81*'PAG20 FE GE'!$E$3+Q81*'PAG20 FE GE'!$E$4</f>
        <v>70567.894</v>
      </c>
      <c r="K81" s="9">
        <f>O81*'PAG100 FE GE'!$D$2+P81*'PAG100 FE GE'!$D$3+Q81*'PAG100 FE GE'!$D$4</f>
        <v>70500.11</v>
      </c>
      <c r="L81" s="9">
        <f>O81*'PAG20 FE GE'!$D$2+P81*'PAG20 FE GE'!$D$3+Q81*'PAG20 FE GE'!$D$4</f>
        <v>70531.099999999991</v>
      </c>
      <c r="M81" s="9">
        <f>O81*'PAG100 FE GE'!$C$2+P81*'PAG100 FE GE'!$C$3+Q81*'PAG100 FE GE'!$C$4</f>
        <v>70641.8</v>
      </c>
      <c r="N81" s="9">
        <f>O81*'PAG20 FE GE'!$C$2+P81*'PAG20 FE GE'!$C$3+Q81*'PAG20 FE GE'!$C$4</f>
        <v>70631.789999999994</v>
      </c>
      <c r="O81" s="9">
        <f>69.33*1000</f>
        <v>69330</v>
      </c>
      <c r="P81" s="9">
        <f>0.00062*1000</f>
        <v>0.62</v>
      </c>
      <c r="Q81" s="9">
        <f>0.00435*1000</f>
        <v>4.3499999999999996</v>
      </c>
      <c r="R81" s="9">
        <f>X81*'PAG100 FE GE'!$E$2+Y81*'PAG100 FE GE'!$E$3+Z81*'PAG100 FE GE'!$E$4</f>
        <v>2529.9439280640004</v>
      </c>
      <c r="S81" s="9">
        <f>X81*'PAG20 FE GE'!$E$2+Y81*'PAG20 FE GE'!$E$3+Z81*'PAG20 FE GE'!$E$4</f>
        <v>2531.1292219920006</v>
      </c>
      <c r="T81" s="9">
        <f>X81*'PAG100 FE GE'!$D$2+Y81*'PAG100 FE GE'!$D$3+Z81*'PAG100 FE GE'!$D$4</f>
        <v>2528.6979454800003</v>
      </c>
      <c r="U81" s="9">
        <f>X81*'PAG20 FE GE'!$D$2+Y81*'PAG20 FE GE'!$D$3+Z81*'PAG20 FE GE'!$D$4</f>
        <v>2529.8094948000003</v>
      </c>
      <c r="V81" s="9">
        <f>X81*'PAG100 FE GE'!$C$2+Y81*'PAG100 FE GE'!$C$3+Z81*'PAG100 FE GE'!$C$4</f>
        <v>2533.7800824000001</v>
      </c>
      <c r="W81" s="9">
        <f>X81*'PAG20 FE GE'!$C$2+Y81*'PAG20 FE GE'!$C$3+Z81*'PAG20 FE GE'!$C$4</f>
        <v>2533.4210437199999</v>
      </c>
      <c r="X81" s="9">
        <f t="shared" si="36"/>
        <v>2486.7284400000003</v>
      </c>
      <c r="Y81" s="9">
        <f t="shared" si="37"/>
        <v>2.2238160000000003E-2</v>
      </c>
      <c r="Z81" s="9">
        <f t="shared" si="38"/>
        <v>0.15602579999999999</v>
      </c>
      <c r="AA81" s="9">
        <f>AG81*'PAG100 FE GE'!$E$2+AH81*'PAG100 FE GE'!$E$3+AI81*'PAG100 FE GE'!$E$4</f>
        <v>536.87606640000001</v>
      </c>
      <c r="AB81" s="9">
        <f>AG81*'PAG20 FE GE'!$E$2+AH81*'PAG20 FE GE'!$E$3+AI81*'PAG20 FE GE'!$E$4</f>
        <v>537.12742920000005</v>
      </c>
      <c r="AC81" s="9">
        <f>AG81*'PAG100 FE GE'!$D$2+AH81*'PAG100 FE GE'!$D$3+AI81*'PAG100 FE GE'!$D$4</f>
        <v>536.6114980000001</v>
      </c>
      <c r="AD81" s="9">
        <f>AG81*'PAG20 FE GE'!$D$2+AH81*'PAG20 FE GE'!$D$3+AI81*'PAG20 FE GE'!$D$4</f>
        <v>536.84717999999998</v>
      </c>
      <c r="AE81" s="9">
        <f>AG81*'PAG100 FE GE'!$C$2+AH81*'PAG100 FE GE'!$C$3+AI81*'PAG100 FE GE'!$C$4</f>
        <v>537.69064000000003</v>
      </c>
      <c r="AF81" s="9">
        <f>AG81*'PAG20 FE GE'!$C$2+AH81*'PAG20 FE GE'!$C$3+AI81*'PAG20 FE GE'!$C$4</f>
        <v>537.61412200000007</v>
      </c>
      <c r="AG81" s="9">
        <v>527.70000000000005</v>
      </c>
      <c r="AH81" s="9">
        <f>4.716/1000</f>
        <v>4.7160000000000006E-3</v>
      </c>
      <c r="AI81" s="9">
        <f>33.13/1000</f>
        <v>3.313E-2</v>
      </c>
      <c r="AJ81" s="13">
        <f t="shared" si="39"/>
        <v>21.220652464971206</v>
      </c>
      <c r="AK81" t="s">
        <v>424</v>
      </c>
      <c r="AL81" t="s">
        <v>790</v>
      </c>
    </row>
    <row r="82" spans="1:38" ht="15.75" thickBot="1" x14ac:dyDescent="0.3">
      <c r="A82" s="4" t="s">
        <v>46</v>
      </c>
      <c r="B82" s="7" t="s">
        <v>78</v>
      </c>
      <c r="C82" s="5" t="s">
        <v>3</v>
      </c>
      <c r="D82" s="6" t="s">
        <v>8</v>
      </c>
      <c r="E82" s="6" t="str">
        <f t="shared" si="35"/>
        <v>Pesado de Mercadorias N3: 20-28 t : Gasóleo : E0</v>
      </c>
      <c r="F82" s="6" t="s">
        <v>55</v>
      </c>
      <c r="G82" s="6" t="s">
        <v>96</v>
      </c>
      <c r="H82" s="9">
        <f>IF(G82="MJ",INDEX(Tabela1[Energia (MJ/Qtd.)],MATCH(C82,Tabela1[Fuel],0)),IF(G82="GJ",INDEX(Tabela1[Energia (GJ/Qtd.)2],MATCH(C82,Tabela1[Fuel],0)),"XXX"))</f>
        <v>3.5868000000000004E-2</v>
      </c>
      <c r="I82" s="9">
        <f>O82*'PAG100 FE GE'!$E$2+P82*'PAG100 FE GE'!$E$3+Q82*'PAG100 FE GE'!$E$4</f>
        <v>69942.968000000008</v>
      </c>
      <c r="J82" s="9">
        <f>O82*'PAG20 FE GE'!$E$2+P82*'PAG20 FE GE'!$E$3+Q82*'PAG20 FE GE'!$E$4</f>
        <v>70402.414000000004</v>
      </c>
      <c r="K82" s="9">
        <f>O82*'PAG100 FE GE'!$D$2+P82*'PAG100 FE GE'!$D$3+Q82*'PAG100 FE GE'!$D$4</f>
        <v>69924.710000000006</v>
      </c>
      <c r="L82" s="9">
        <f>O82*'PAG20 FE GE'!$D$2+P82*'PAG20 FE GE'!$D$3+Q82*'PAG20 FE GE'!$D$4</f>
        <v>70413.66</v>
      </c>
      <c r="M82" s="9">
        <f>O82*'PAG100 FE GE'!$C$2+P82*'PAG100 FE GE'!$C$3+Q82*'PAG100 FE GE'!$C$4</f>
        <v>69977.72</v>
      </c>
      <c r="N82" s="9">
        <f>O82*'PAG20 FE GE'!$C$2+P82*'PAG20 FE GE'!$C$3+Q82*'PAG20 FE GE'!$C$4</f>
        <v>70361.350000000006</v>
      </c>
      <c r="O82" s="9">
        <f>69.05*1000</f>
        <v>69050</v>
      </c>
      <c r="P82" s="9">
        <f>0.00862*1000</f>
        <v>8.6199999999999992</v>
      </c>
      <c r="Q82" s="9">
        <f>0.00239*1000</f>
        <v>2.39</v>
      </c>
      <c r="R82" s="9">
        <f>X82*'PAG100 FE GE'!$E$2+Y82*'PAG100 FE GE'!$E$3+Z82*'PAG100 FE GE'!$E$4</f>
        <v>2508.7143762240003</v>
      </c>
      <c r="S82" s="9">
        <f>X82*'PAG20 FE GE'!$E$2+Y82*'PAG20 FE GE'!$E$3+Z82*'PAG20 FE GE'!$E$4</f>
        <v>2525.1937853520003</v>
      </c>
      <c r="T82" s="9">
        <f>X82*'PAG100 FE GE'!$D$2+Y82*'PAG100 FE GE'!$D$3+Z82*'PAG100 FE GE'!$D$4</f>
        <v>2508.0594982800003</v>
      </c>
      <c r="U82" s="9">
        <f>X82*'PAG20 FE GE'!$D$2+Y82*'PAG20 FE GE'!$D$3+Z82*'PAG20 FE GE'!$D$4</f>
        <v>2525.5971568800005</v>
      </c>
      <c r="V82" s="9">
        <f>X82*'PAG100 FE GE'!$C$2+Y82*'PAG100 FE GE'!$C$3+Z82*'PAG100 FE GE'!$C$4</f>
        <v>2509.9608609600004</v>
      </c>
      <c r="W82" s="9">
        <f>X82*'PAG20 FE GE'!$C$2+Y82*'PAG20 FE GE'!$C$3+Z82*'PAG20 FE GE'!$C$4</f>
        <v>2523.7209018000003</v>
      </c>
      <c r="X82" s="9">
        <f t="shared" si="36"/>
        <v>2476.6854000000003</v>
      </c>
      <c r="Y82" s="9">
        <f t="shared" si="37"/>
        <v>0.30918215999999998</v>
      </c>
      <c r="Z82" s="9">
        <f t="shared" si="38"/>
        <v>8.5724520000000012E-2</v>
      </c>
      <c r="AA82" s="9">
        <f>AG82*'PAG100 FE GE'!$E$2+AH82*'PAG100 FE GE'!$E$3+AI82*'PAG100 FE GE'!$E$4</f>
        <v>876.43423230000008</v>
      </c>
      <c r="AB82" s="9">
        <f>AG82*'PAG20 FE GE'!$E$2+AH82*'PAG20 FE GE'!$E$3+AI82*'PAG20 FE GE'!$E$4</f>
        <v>882.19260440000005</v>
      </c>
      <c r="AC82" s="9">
        <f>AG82*'PAG100 FE GE'!$D$2+AH82*'PAG100 FE GE'!$D$3+AI82*'PAG100 FE GE'!$D$4</f>
        <v>876.20503600000006</v>
      </c>
      <c r="AD82" s="9">
        <f>AG82*'PAG20 FE GE'!$D$2+AH82*'PAG20 FE GE'!$D$3+AI82*'PAG20 FE GE'!$D$4</f>
        <v>882.33314499999994</v>
      </c>
      <c r="AE82" s="9">
        <f>AG82*'PAG100 FE GE'!$C$2+AH82*'PAG100 FE GE'!$C$3+AI82*'PAG100 FE GE'!$C$4</f>
        <v>876.87092500000006</v>
      </c>
      <c r="AF82" s="9">
        <f>AG82*'PAG20 FE GE'!$C$2+AH82*'PAG20 FE GE'!$C$3+AI82*'PAG20 FE GE'!$C$4</f>
        <v>881.67866400000003</v>
      </c>
      <c r="AG82" s="9">
        <v>865.23</v>
      </c>
      <c r="AH82" s="9">
        <f>108.037/1000</f>
        <v>0.10803700000000001</v>
      </c>
      <c r="AI82" s="9">
        <v>0.03</v>
      </c>
      <c r="AJ82" s="13">
        <f t="shared" si="39"/>
        <v>34.934998203647503</v>
      </c>
      <c r="AK82" t="s">
        <v>424</v>
      </c>
      <c r="AL82" t="s">
        <v>790</v>
      </c>
    </row>
    <row r="83" spans="1:38" ht="15.75" thickBot="1" x14ac:dyDescent="0.3">
      <c r="A83" s="4" t="s">
        <v>46</v>
      </c>
      <c r="B83" s="7" t="s">
        <v>78</v>
      </c>
      <c r="C83" s="5" t="s">
        <v>3</v>
      </c>
      <c r="D83" s="6" t="s">
        <v>7</v>
      </c>
      <c r="E83" s="6" t="str">
        <f t="shared" si="35"/>
        <v>Pesado de Mercadorias N3: 20-28 t : Gasóleo : E1</v>
      </c>
      <c r="F83" s="6" t="s">
        <v>55</v>
      </c>
      <c r="G83" s="6" t="s">
        <v>96</v>
      </c>
      <c r="H83" s="9">
        <f>IF(G83="MJ",INDEX(Tabela1[Energia (MJ/Qtd.)],MATCH(C83,Tabela1[Fuel],0)),IF(G83="GJ",INDEX(Tabela1[Energia (GJ/Qtd.)2],MATCH(C83,Tabela1[Fuel],0)),"XXX"))</f>
        <v>3.5868000000000004E-2</v>
      </c>
      <c r="I83" s="9">
        <f>O83*'PAG100 FE GE'!$E$2+P83*'PAG100 FE GE'!$E$3+Q83*'PAG100 FE GE'!$E$4</f>
        <v>69555.167999999991</v>
      </c>
      <c r="J83" s="9">
        <f>O83*'PAG20 FE GE'!$E$2+P83*'PAG20 FE GE'!$E$3+Q83*'PAG20 FE GE'!$E$4</f>
        <v>70083.903999999995</v>
      </c>
      <c r="K83" s="9">
        <f>O83*'PAG100 FE GE'!$D$2+P83*'PAG100 FE GE'!$D$3+Q83*'PAG100 FE GE'!$D$4</f>
        <v>69549.759999999995</v>
      </c>
      <c r="L83" s="9">
        <f>O83*'PAG20 FE GE'!$D$2+P83*'PAG20 FE GE'!$D$3+Q83*'PAG20 FE GE'!$D$4</f>
        <v>70114.399999999994</v>
      </c>
      <c r="M83" s="9">
        <f>O83*'PAG100 FE GE'!$C$2+P83*'PAG100 FE GE'!$C$3+Q83*'PAG100 FE GE'!$C$4</f>
        <v>69546.399999999994</v>
      </c>
      <c r="N83" s="9">
        <f>O83*'PAG20 FE GE'!$C$2+P83*'PAG20 FE GE'!$C$3+Q83*'PAG20 FE GE'!$C$4</f>
        <v>70005.440000000002</v>
      </c>
      <c r="O83" s="9">
        <f>69.06*1000</f>
        <v>69060</v>
      </c>
      <c r="P83" s="9">
        <f>0.00992*1000</f>
        <v>9.92</v>
      </c>
      <c r="Q83" s="9">
        <f>0.0008*1000</f>
        <v>0.8</v>
      </c>
      <c r="R83" s="9">
        <f>X83*'PAG100 FE GE'!$E$2+Y83*'PAG100 FE GE'!$E$3+Z83*'PAG100 FE GE'!$E$4</f>
        <v>2494.8047658239998</v>
      </c>
      <c r="S83" s="9">
        <f>X83*'PAG20 FE GE'!$E$2+Y83*'PAG20 FE GE'!$E$3+Z83*'PAG20 FE GE'!$E$4</f>
        <v>2513.7694686720001</v>
      </c>
      <c r="T83" s="9">
        <f>X83*'PAG100 FE GE'!$D$2+Y83*'PAG100 FE GE'!$D$3+Z83*'PAG100 FE GE'!$D$4</f>
        <v>2494.6107916800001</v>
      </c>
      <c r="U83" s="9">
        <f>X83*'PAG20 FE GE'!$D$2+Y83*'PAG20 FE GE'!$D$3+Z83*'PAG20 FE GE'!$D$4</f>
        <v>2514.8632991999998</v>
      </c>
      <c r="V83" s="9">
        <f>X83*'PAG100 FE GE'!$C$2+Y83*'PAG100 FE GE'!$C$3+Z83*'PAG100 FE GE'!$C$4</f>
        <v>2494.4902752000003</v>
      </c>
      <c r="W83" s="9">
        <f>X83*'PAG20 FE GE'!$C$2+Y83*'PAG20 FE GE'!$C$3+Z83*'PAG20 FE GE'!$C$4</f>
        <v>2510.9551219200002</v>
      </c>
      <c r="X83" s="9">
        <f t="shared" si="36"/>
        <v>2477.0440800000001</v>
      </c>
      <c r="Y83" s="9">
        <f t="shared" si="37"/>
        <v>0.35581056000000005</v>
      </c>
      <c r="Z83" s="9">
        <f t="shared" si="38"/>
        <v>2.8694400000000005E-2</v>
      </c>
      <c r="AA83" s="9">
        <f>AG83*'PAG100 FE GE'!$E$2+AH83*'PAG100 FE GE'!$E$3+AI83*'PAG100 FE GE'!$E$4</f>
        <v>757.69298229999993</v>
      </c>
      <c r="AB83" s="9">
        <f>AG83*'PAG20 FE GE'!$E$2+AH83*'PAG20 FE GE'!$E$3+AI83*'PAG20 FE GE'!$E$4</f>
        <v>763.4513543999999</v>
      </c>
      <c r="AC83" s="9">
        <f>AG83*'PAG100 FE GE'!$D$2+AH83*'PAG100 FE GE'!$D$3+AI83*'PAG100 FE GE'!$D$4</f>
        <v>757.63378599999999</v>
      </c>
      <c r="AD83" s="9">
        <f>AG83*'PAG20 FE GE'!$D$2+AH83*'PAG20 FE GE'!$D$3+AI83*'PAG20 FE GE'!$D$4</f>
        <v>763.78314499999988</v>
      </c>
      <c r="AE83" s="9">
        <f>AG83*'PAG100 FE GE'!$C$2+AH83*'PAG100 FE GE'!$C$3+AI83*'PAG100 FE GE'!$C$4</f>
        <v>757.59842499999991</v>
      </c>
      <c r="AF83" s="9">
        <f>AG83*'PAG20 FE GE'!$C$2+AH83*'PAG20 FE GE'!$C$3+AI83*'PAG20 FE GE'!$C$4</f>
        <v>762.59741399999996</v>
      </c>
      <c r="AG83" s="9">
        <v>752.29</v>
      </c>
      <c r="AH83" s="9">
        <f>108.037/1000</f>
        <v>0.10803700000000001</v>
      </c>
      <c r="AI83" s="9">
        <f>8.75/1000</f>
        <v>8.7500000000000008E-3</v>
      </c>
      <c r="AJ83" s="13">
        <f t="shared" si="39"/>
        <v>30.370472858117243</v>
      </c>
      <c r="AK83" t="s">
        <v>424</v>
      </c>
      <c r="AL83" t="s">
        <v>790</v>
      </c>
    </row>
    <row r="84" spans="1:38" ht="15.75" thickBot="1" x14ac:dyDescent="0.3">
      <c r="A84" s="4" t="s">
        <v>46</v>
      </c>
      <c r="B84" s="7" t="s">
        <v>78</v>
      </c>
      <c r="C84" s="5" t="s">
        <v>3</v>
      </c>
      <c r="D84" s="6" t="s">
        <v>9</v>
      </c>
      <c r="E84" s="6" t="str">
        <f t="shared" si="35"/>
        <v>Pesado de Mercadorias N3: 20-28 t : Gasóleo : E2</v>
      </c>
      <c r="F84" s="6" t="s">
        <v>55</v>
      </c>
      <c r="G84" s="6" t="s">
        <v>96</v>
      </c>
      <c r="H84" s="9">
        <f>IF(G84="MJ",INDEX(Tabela1[Energia (MJ/Qtd.)],MATCH(C84,Tabela1[Fuel],0)),IF(G84="GJ",INDEX(Tabela1[Energia (GJ/Qtd.)2],MATCH(C84,Tabela1[Fuel],0)),"XXX"))</f>
        <v>3.5868000000000004E-2</v>
      </c>
      <c r="I84" s="9">
        <f>O84*'PAG100 FE GE'!$E$2+P84*'PAG100 FE GE'!$E$3+Q84*'PAG100 FE GE'!$E$4</f>
        <v>69489.444000000003</v>
      </c>
      <c r="J84" s="9">
        <f>O84*'PAG20 FE GE'!$E$2+P84*'PAG20 FE GE'!$E$3+Q84*'PAG20 FE GE'!$E$4</f>
        <v>69903.051999999996</v>
      </c>
      <c r="K84" s="9">
        <f>O84*'PAG100 FE GE'!$D$2+P84*'PAG100 FE GE'!$D$3+Q84*'PAG100 FE GE'!$D$4</f>
        <v>69483.98</v>
      </c>
      <c r="L84" s="9">
        <f>O84*'PAG20 FE GE'!$D$2+P84*'PAG20 FE GE'!$D$3+Q84*'PAG20 FE GE'!$D$4</f>
        <v>69925.52</v>
      </c>
      <c r="M84" s="9">
        <f>O84*'PAG100 FE GE'!$C$2+P84*'PAG100 FE GE'!$C$3+Q84*'PAG100 FE GE'!$C$4</f>
        <v>69486.44</v>
      </c>
      <c r="N84" s="9">
        <f>O84*'PAG20 FE GE'!$C$2+P84*'PAG20 FE GE'!$C$3+Q84*'PAG20 FE GE'!$C$4</f>
        <v>69844.14</v>
      </c>
      <c r="O84" s="9">
        <f>69.06*1000</f>
        <v>69060</v>
      </c>
      <c r="P84" s="9">
        <f>0.00776*1000</f>
        <v>7.7600000000000007</v>
      </c>
      <c r="Q84" s="9">
        <f>0.00078*1000</f>
        <v>0.78</v>
      </c>
      <c r="R84" s="9">
        <f>X84*'PAG100 FE GE'!$E$2+Y84*'PAG100 FE GE'!$E$3+Z84*'PAG100 FE GE'!$E$4</f>
        <v>2492.4473773920004</v>
      </c>
      <c r="S84" s="9">
        <f>X84*'PAG20 FE GE'!$E$2+Y84*'PAG20 FE GE'!$E$3+Z84*'PAG20 FE GE'!$E$4</f>
        <v>2507.2826691360001</v>
      </c>
      <c r="T84" s="9">
        <f>X84*'PAG100 FE GE'!$D$2+Y84*'PAG100 FE GE'!$D$3+Z84*'PAG100 FE GE'!$D$4</f>
        <v>2492.2513946400004</v>
      </c>
      <c r="U84" s="9">
        <f>X84*'PAG20 FE GE'!$D$2+Y84*'PAG20 FE GE'!$D$3+Z84*'PAG20 FE GE'!$D$4</f>
        <v>2508.0885513600001</v>
      </c>
      <c r="V84" s="9">
        <f>X84*'PAG100 FE GE'!$C$2+Y84*'PAG100 FE GE'!$C$3+Z84*'PAG100 FE GE'!$C$4</f>
        <v>2492.3396299200003</v>
      </c>
      <c r="W84" s="9">
        <f>X84*'PAG20 FE GE'!$C$2+Y84*'PAG20 FE GE'!$C$3+Z84*'PAG20 FE GE'!$C$4</f>
        <v>2505.16961352</v>
      </c>
      <c r="X84" s="9">
        <f t="shared" si="36"/>
        <v>2477.0440800000001</v>
      </c>
      <c r="Y84" s="9">
        <f t="shared" si="37"/>
        <v>0.27833568000000003</v>
      </c>
      <c r="Z84" s="9">
        <f t="shared" si="38"/>
        <v>2.7977040000000005E-2</v>
      </c>
      <c r="AA84" s="9">
        <f>AG84*'PAG100 FE GE'!$E$2+AH84*'PAG100 FE GE'!$E$3+AI84*'PAG100 FE GE'!$E$4</f>
        <v>735.54091840000001</v>
      </c>
      <c r="AB84" s="9">
        <f>AG84*'PAG20 FE GE'!$E$2+AH84*'PAG20 FE GE'!$E$3+AI84*'PAG20 FE GE'!$E$4</f>
        <v>739.91663519999997</v>
      </c>
      <c r="AC84" s="9">
        <f>AG84*'PAG100 FE GE'!$D$2+AH84*'PAG100 FE GE'!$D$3+AI84*'PAG100 FE GE'!$D$4</f>
        <v>735.482888</v>
      </c>
      <c r="AD84" s="9">
        <f>AG84*'PAG20 FE GE'!$D$2+AH84*'PAG20 FE GE'!$D$3+AI84*'PAG20 FE GE'!$D$4</f>
        <v>740.15408000000002</v>
      </c>
      <c r="AE84" s="9">
        <f>AG84*'PAG100 FE GE'!$C$2+AH84*'PAG100 FE GE'!$C$3+AI84*'PAG100 FE GE'!$C$4</f>
        <v>735.50984000000005</v>
      </c>
      <c r="AF84" s="9">
        <f>AG84*'PAG20 FE GE'!$C$2+AH84*'PAG20 FE GE'!$C$3+AI84*'PAG20 FE GE'!$C$4</f>
        <v>739.29383200000007</v>
      </c>
      <c r="AG84" s="9">
        <v>730.99</v>
      </c>
      <c r="AH84" s="9">
        <f>82.096/1000</f>
        <v>8.2096000000000002E-2</v>
      </c>
      <c r="AI84" s="9">
        <f>8.28/1000</f>
        <v>8.2799999999999992E-3</v>
      </c>
      <c r="AJ84" s="13">
        <f t="shared" si="39"/>
        <v>29.510576977701579</v>
      </c>
      <c r="AK84" t="s">
        <v>424</v>
      </c>
      <c r="AL84" t="s">
        <v>790</v>
      </c>
    </row>
    <row r="85" spans="1:38" ht="15.75" thickBot="1" x14ac:dyDescent="0.3">
      <c r="A85" s="4" t="s">
        <v>46</v>
      </c>
      <c r="B85" s="7" t="s">
        <v>78</v>
      </c>
      <c r="C85" s="5" t="s">
        <v>3</v>
      </c>
      <c r="D85" s="6" t="s">
        <v>10</v>
      </c>
      <c r="E85" s="6" t="str">
        <f t="shared" si="35"/>
        <v>Pesado de Mercadorias N3: 20-28 t : Gasóleo : E3</v>
      </c>
      <c r="F85" s="6" t="s">
        <v>55</v>
      </c>
      <c r="G85" s="6" t="s">
        <v>96</v>
      </c>
      <c r="H85" s="9">
        <f>IF(G85="MJ",INDEX(Tabela1[Energia (MJ/Qtd.)],MATCH(C85,Tabela1[Fuel],0)),IF(G85="GJ",INDEX(Tabela1[Energia (GJ/Qtd.)2],MATCH(C85,Tabela1[Fuel],0)),"XXX"))</f>
        <v>3.5868000000000004E-2</v>
      </c>
      <c r="I85" s="9">
        <f>O85*'PAG100 FE GE'!$E$2+P85*'PAG100 FE GE'!$E$3+Q85*'PAG100 FE GE'!$E$4</f>
        <v>69368.625</v>
      </c>
      <c r="J85" s="9">
        <f>O85*'PAG20 FE GE'!$E$2+P85*'PAG20 FE GE'!$E$3+Q85*'PAG20 FE GE'!$E$4</f>
        <v>69744.39</v>
      </c>
      <c r="K85" s="9">
        <f>O85*'PAG100 FE GE'!$D$2+P85*'PAG100 FE GE'!$D$3+Q85*'PAG100 FE GE'!$D$4</f>
        <v>69366.049999999988</v>
      </c>
      <c r="L85" s="9">
        <f>O85*'PAG20 FE GE'!$D$2+P85*'PAG20 FE GE'!$D$3+Q85*'PAG20 FE GE'!$D$4</f>
        <v>69767.490000000005</v>
      </c>
      <c r="M85" s="9">
        <f>O85*'PAG100 FE GE'!$C$2+P85*'PAG100 FE GE'!$C$3+Q85*'PAG100 FE GE'!$C$4</f>
        <v>69358.429999999993</v>
      </c>
      <c r="N85" s="9">
        <f>O85*'PAG20 FE GE'!$C$2+P85*'PAG20 FE GE'!$C$3+Q85*'PAG20 FE GE'!$C$4</f>
        <v>69686.090000000011</v>
      </c>
      <c r="O85" s="9">
        <f>69.06*1000</f>
        <v>69060</v>
      </c>
      <c r="P85" s="9">
        <f>0.00705*1000</f>
        <v>7.05</v>
      </c>
      <c r="Q85" s="9">
        <f>0.00041*1000</f>
        <v>0.41</v>
      </c>
      <c r="R85" s="9">
        <f>X85*'PAG100 FE GE'!$E$2+Y85*'PAG100 FE GE'!$E$3+Z85*'PAG100 FE GE'!$E$4</f>
        <v>2488.1138415</v>
      </c>
      <c r="S85" s="9">
        <f>X85*'PAG20 FE GE'!$E$2+Y85*'PAG20 FE GE'!$E$3+Z85*'PAG20 FE GE'!$E$4</f>
        <v>2501.5917805199997</v>
      </c>
      <c r="T85" s="9">
        <f>X85*'PAG100 FE GE'!$D$2+Y85*'PAG100 FE GE'!$D$3+Z85*'PAG100 FE GE'!$D$4</f>
        <v>2488.0214814000001</v>
      </c>
      <c r="U85" s="9">
        <f>X85*'PAG20 FE GE'!$D$2+Y85*'PAG20 FE GE'!$D$3+Z85*'PAG20 FE GE'!$D$4</f>
        <v>2502.4203313200001</v>
      </c>
      <c r="V85" s="9">
        <f>X85*'PAG100 FE GE'!$C$2+Y85*'PAG100 FE GE'!$C$3+Z85*'PAG100 FE GE'!$C$4</f>
        <v>2487.7481672399999</v>
      </c>
      <c r="W85" s="9">
        <f>X85*'PAG20 FE GE'!$C$2+Y85*'PAG20 FE GE'!$C$3+Z85*'PAG20 FE GE'!$C$4</f>
        <v>2499.5006761200002</v>
      </c>
      <c r="X85" s="9">
        <f t="shared" si="36"/>
        <v>2477.0440800000001</v>
      </c>
      <c r="Y85" s="9">
        <f t="shared" si="37"/>
        <v>0.25286940000000002</v>
      </c>
      <c r="Z85" s="9">
        <f t="shared" si="38"/>
        <v>1.4705880000000001E-2</v>
      </c>
      <c r="AA85" s="9">
        <f>AG85*'PAG100 FE GE'!$E$2+AH85*'PAG100 FE GE'!$E$3+AI85*'PAG100 FE GE'!$E$4</f>
        <v>762.65874469999994</v>
      </c>
      <c r="AB85" s="9">
        <f>AG85*'PAG20 FE GE'!$E$2+AH85*'PAG20 FE GE'!$E$3+AI85*'PAG20 FE GE'!$E$4</f>
        <v>766.78912159999993</v>
      </c>
      <c r="AC85" s="9">
        <f>AG85*'PAG100 FE GE'!$D$2+AH85*'PAG100 FE GE'!$D$3+AI85*'PAG100 FE GE'!$D$4</f>
        <v>762.63025400000004</v>
      </c>
      <c r="AD85" s="9">
        <f>AG85*'PAG20 FE GE'!$D$2+AH85*'PAG20 FE GE'!$D$3+AI85*'PAG20 FE GE'!$D$4</f>
        <v>767.04282499999999</v>
      </c>
      <c r="AE85" s="9">
        <f>AG85*'PAG100 FE GE'!$C$2+AH85*'PAG100 FE GE'!$C$3+AI85*'PAG100 FE GE'!$C$4</f>
        <v>762.54726499999992</v>
      </c>
      <c r="AF85" s="9">
        <f>AG85*'PAG20 FE GE'!$C$2+AH85*'PAG20 FE GE'!$C$3+AI85*'PAG20 FE GE'!$C$4</f>
        <v>766.14866599999993</v>
      </c>
      <c r="AG85" s="9">
        <v>759.26</v>
      </c>
      <c r="AH85" s="9">
        <f>77.493/1000</f>
        <v>7.7492999999999992E-2</v>
      </c>
      <c r="AI85" s="9">
        <f>4.53/1000</f>
        <v>4.5300000000000002E-3</v>
      </c>
      <c r="AJ85" s="13">
        <f t="shared" si="39"/>
        <v>30.651856627436359</v>
      </c>
      <c r="AK85" t="s">
        <v>424</v>
      </c>
      <c r="AL85" t="s">
        <v>790</v>
      </c>
    </row>
    <row r="86" spans="1:38" ht="15.75" thickBot="1" x14ac:dyDescent="0.3">
      <c r="A86" s="4" t="s">
        <v>46</v>
      </c>
      <c r="B86" s="7" t="s">
        <v>78</v>
      </c>
      <c r="C86" s="5" t="s">
        <v>3</v>
      </c>
      <c r="D86" s="6" t="s">
        <v>4</v>
      </c>
      <c r="E86" s="6" t="str">
        <f t="shared" si="35"/>
        <v>Pesado de Mercadorias N3: 20-28 t : Gasóleo : E4</v>
      </c>
      <c r="F86" s="6" t="s">
        <v>55</v>
      </c>
      <c r="G86" s="6" t="s">
        <v>96</v>
      </c>
      <c r="H86" s="9">
        <f>IF(G86="MJ",INDEX(Tabela1[Energia (MJ/Qtd.)],MATCH(C86,Tabela1[Fuel],0)),IF(G86="GJ",INDEX(Tabela1[Energia (GJ/Qtd.)2],MATCH(C86,Tabela1[Fuel],0)),"XXX"))</f>
        <v>3.5868000000000004E-2</v>
      </c>
      <c r="I86" s="9">
        <f>O86*'PAG100 FE GE'!$E$2+P86*'PAG100 FE GE'!$E$3+Q86*'PAG100 FE GE'!$E$4</f>
        <v>69705.864000000001</v>
      </c>
      <c r="J86" s="9">
        <f>O86*'PAG20 FE GE'!$E$2+P86*'PAG20 FE GE'!$E$3+Q86*'PAG20 FE GE'!$E$4</f>
        <v>69730.381999999998</v>
      </c>
      <c r="K86" s="9">
        <f>O86*'PAG100 FE GE'!$D$2+P86*'PAG100 FE GE'!$D$3+Q86*'PAG100 FE GE'!$D$4</f>
        <v>69697.03</v>
      </c>
      <c r="L86" s="9">
        <f>O86*'PAG20 FE GE'!$D$2+P86*'PAG20 FE GE'!$D$3+Q86*'PAG20 FE GE'!$D$4</f>
        <v>69722.14</v>
      </c>
      <c r="M86" s="9">
        <f>O86*'PAG100 FE GE'!$C$2+P86*'PAG100 FE GE'!$C$3+Q86*'PAG100 FE GE'!$C$4</f>
        <v>69732.28</v>
      </c>
      <c r="N86" s="9">
        <f>O86*'PAG20 FE GE'!$C$2+P86*'PAG20 FE GE'!$C$3+Q86*'PAG20 FE GE'!$C$4</f>
        <v>69743.909999999989</v>
      </c>
      <c r="O86" s="9">
        <f>69.39*1000</f>
        <v>69390</v>
      </c>
      <c r="P86" s="9">
        <f>0.00046*1000</f>
        <v>0.46</v>
      </c>
      <c r="Q86" s="9">
        <f>0.00111*1000</f>
        <v>1.1100000000000001</v>
      </c>
      <c r="R86" s="9">
        <f>X86*'PAG100 FE GE'!$E$2+Y86*'PAG100 FE GE'!$E$3+Z86*'PAG100 FE GE'!$E$4</f>
        <v>2500.209929952</v>
      </c>
      <c r="S86" s="9">
        <f>X86*'PAG20 FE GE'!$E$2+Y86*'PAG20 FE GE'!$E$3+Z86*'PAG20 FE GE'!$E$4</f>
        <v>2501.0893415760002</v>
      </c>
      <c r="T86" s="9">
        <f>X86*'PAG100 FE GE'!$D$2+Y86*'PAG100 FE GE'!$D$3+Z86*'PAG100 FE GE'!$D$4</f>
        <v>2499.8930720399999</v>
      </c>
      <c r="U86" s="9">
        <f>X86*'PAG20 FE GE'!$D$2+Y86*'PAG20 FE GE'!$D$3+Z86*'PAG20 FE GE'!$D$4</f>
        <v>2500.79371752</v>
      </c>
      <c r="V86" s="9">
        <f>X86*'PAG100 FE GE'!$C$2+Y86*'PAG100 FE GE'!$C$3+Z86*'PAG100 FE GE'!$C$4</f>
        <v>2501.1574190400001</v>
      </c>
      <c r="W86" s="9">
        <f>X86*'PAG20 FE GE'!$C$2+Y86*'PAG20 FE GE'!$C$3+Z86*'PAG20 FE GE'!$C$4</f>
        <v>2501.5745638799999</v>
      </c>
      <c r="X86" s="9">
        <f t="shared" si="36"/>
        <v>2488.8805200000002</v>
      </c>
      <c r="Y86" s="9">
        <f t="shared" si="37"/>
        <v>1.6499280000000002E-2</v>
      </c>
      <c r="Z86" s="9">
        <f t="shared" si="38"/>
        <v>3.9813480000000005E-2</v>
      </c>
      <c r="AA86" s="9">
        <f>AG86*'PAG100 FE GE'!$E$2+AH86*'PAG100 FE GE'!$E$3+AI86*'PAG100 FE GE'!$E$4</f>
        <v>738.06766010000001</v>
      </c>
      <c r="AB86" s="9">
        <f>AG86*'PAG20 FE GE'!$E$2+AH86*'PAG20 FE GE'!$E$3+AI86*'PAG20 FE GE'!$E$4</f>
        <v>738.32451279999998</v>
      </c>
      <c r="AC86" s="9">
        <f>AG86*'PAG100 FE GE'!$D$2+AH86*'PAG100 FE GE'!$D$3+AI86*'PAG100 FE GE'!$D$4</f>
        <v>737.97398200000009</v>
      </c>
      <c r="AD86" s="9">
        <f>AG86*'PAG20 FE GE'!$D$2+AH86*'PAG20 FE GE'!$D$3+AI86*'PAG20 FE GE'!$D$4</f>
        <v>738.236895</v>
      </c>
      <c r="AE86" s="9">
        <f>AG86*'PAG100 FE GE'!$C$2+AH86*'PAG100 FE GE'!$C$3+AI86*'PAG100 FE GE'!$C$4</f>
        <v>738.34793500000012</v>
      </c>
      <c r="AF86" s="9">
        <f>AG86*'PAG20 FE GE'!$C$2+AH86*'PAG20 FE GE'!$C$3+AI86*'PAG20 FE GE'!$C$4</f>
        <v>738.46849799999995</v>
      </c>
      <c r="AG86" s="9">
        <v>734.72</v>
      </c>
      <c r="AH86" s="9">
        <f>4.819/1000</f>
        <v>4.8190000000000004E-3</v>
      </c>
      <c r="AI86" s="9">
        <f>11.77/1000</f>
        <v>1.1769999999999999E-2</v>
      </c>
      <c r="AJ86" s="13">
        <f t="shared" si="39"/>
        <v>29.520099261333765</v>
      </c>
      <c r="AK86" t="s">
        <v>424</v>
      </c>
      <c r="AL86" t="s">
        <v>790</v>
      </c>
    </row>
    <row r="87" spans="1:38" ht="15.75" thickBot="1" x14ac:dyDescent="0.3">
      <c r="A87" s="4" t="s">
        <v>46</v>
      </c>
      <c r="B87" s="7" t="s">
        <v>78</v>
      </c>
      <c r="C87" s="5" t="s">
        <v>3</v>
      </c>
      <c r="D87" s="6" t="s">
        <v>5</v>
      </c>
      <c r="E87" s="6" t="str">
        <f t="shared" si="35"/>
        <v>Pesado de Mercadorias N3: 20-28 t : Gasóleo : E5</v>
      </c>
      <c r="F87" s="6" t="s">
        <v>55</v>
      </c>
      <c r="G87" s="6" t="s">
        <v>96</v>
      </c>
      <c r="H87" s="9">
        <f>IF(G87="MJ",INDEX(Tabela1[Energia (MJ/Qtd.)],MATCH(C87,Tabela1[Fuel],0)),IF(G87="GJ",INDEX(Tabela1[Energia (GJ/Qtd.)2],MATCH(C87,Tabela1[Fuel],0)),"XXX"))</f>
        <v>3.5868000000000004E-2</v>
      </c>
      <c r="I87" s="9">
        <f>O87*'PAG100 FE GE'!$E$2+P87*'PAG100 FE GE'!$E$3+Q87*'PAG100 FE GE'!$E$4</f>
        <v>70290.362999999998</v>
      </c>
      <c r="J87" s="9">
        <f>O87*'PAG20 FE GE'!$E$2+P87*'PAG20 FE GE'!$E$3+Q87*'PAG20 FE GE'!$E$4</f>
        <v>70315.414000000004</v>
      </c>
      <c r="K87" s="9">
        <f>O87*'PAG100 FE GE'!$D$2+P87*'PAG100 FE GE'!$D$3+Q87*'PAG100 FE GE'!$D$4</f>
        <v>70264.41</v>
      </c>
      <c r="L87" s="9">
        <f>O87*'PAG20 FE GE'!$D$2+P87*'PAG20 FE GE'!$D$3+Q87*'PAG20 FE GE'!$D$4</f>
        <v>70287.95</v>
      </c>
      <c r="M87" s="9">
        <f>O87*'PAG100 FE GE'!$C$2+P87*'PAG100 FE GE'!$C$3+Q87*'PAG100 FE GE'!$C$4</f>
        <v>70370.25</v>
      </c>
      <c r="N87" s="9">
        <f>O87*'PAG20 FE GE'!$C$2+P87*'PAG20 FE GE'!$C$3+Q87*'PAG20 FE GE'!$C$4</f>
        <v>70363.09</v>
      </c>
      <c r="O87" s="9">
        <f>69.39*1000</f>
        <v>69390</v>
      </c>
      <c r="P87" s="9">
        <f>0.00047*1000</f>
        <v>0.47</v>
      </c>
      <c r="Q87" s="9">
        <f>0.00325*1000</f>
        <v>3.25</v>
      </c>
      <c r="R87" s="9">
        <f>X87*'PAG100 FE GE'!$E$2+Y87*'PAG100 FE GE'!$E$3+Z87*'PAG100 FE GE'!$E$4</f>
        <v>2521.1747400840004</v>
      </c>
      <c r="S87" s="9">
        <f>X87*'PAG20 FE GE'!$E$2+Y87*'PAG20 FE GE'!$E$3+Z87*'PAG20 FE GE'!$E$4</f>
        <v>2522.0732693520004</v>
      </c>
      <c r="T87" s="9">
        <f>X87*'PAG100 FE GE'!$D$2+Y87*'PAG100 FE GE'!$D$3+Z87*'PAG100 FE GE'!$D$4</f>
        <v>2520.2438578800002</v>
      </c>
      <c r="U87" s="9">
        <f>X87*'PAG20 FE GE'!$D$2+Y87*'PAG20 FE GE'!$D$3+Z87*'PAG20 FE GE'!$D$4</f>
        <v>2521.0881906</v>
      </c>
      <c r="V87" s="9">
        <f>X87*'PAG100 FE GE'!$C$2+Y87*'PAG100 FE GE'!$C$3+Z87*'PAG100 FE GE'!$C$4</f>
        <v>2524.0401270000002</v>
      </c>
      <c r="W87" s="9">
        <f>X87*'PAG20 FE GE'!$C$2+Y87*'PAG20 FE GE'!$C$3+Z87*'PAG20 FE GE'!$C$4</f>
        <v>2523.7833121200001</v>
      </c>
      <c r="X87" s="9">
        <f t="shared" si="36"/>
        <v>2488.8805200000002</v>
      </c>
      <c r="Y87" s="9">
        <f t="shared" si="37"/>
        <v>1.6857960000000002E-2</v>
      </c>
      <c r="Z87" s="9">
        <f t="shared" si="38"/>
        <v>0.11657100000000001</v>
      </c>
      <c r="AA87" s="9">
        <f>AG87*'PAG100 FE GE'!$E$2+AH87*'PAG100 FE GE'!$E$3+AI87*'PAG100 FE GE'!$E$4</f>
        <v>724.97695009999995</v>
      </c>
      <c r="AB87" s="9">
        <f>AG87*'PAG20 FE GE'!$E$2+AH87*'PAG20 FE GE'!$E$3+AI87*'PAG20 FE GE'!$E$4</f>
        <v>725.23380279999992</v>
      </c>
      <c r="AC87" s="9">
        <f>AG87*'PAG100 FE GE'!$D$2+AH87*'PAG100 FE GE'!$D$3+AI87*'PAG100 FE GE'!$D$4</f>
        <v>724.71743200000003</v>
      </c>
      <c r="AD87" s="9">
        <f>AG87*'PAG20 FE GE'!$D$2+AH87*'PAG20 FE GE'!$D$3+AI87*'PAG20 FE GE'!$D$4</f>
        <v>724.9596150000001</v>
      </c>
      <c r="AE87" s="9">
        <f>AG87*'PAG100 FE GE'!$C$2+AH87*'PAG100 FE GE'!$C$3+AI87*'PAG100 FE GE'!$C$4</f>
        <v>725.77547500000003</v>
      </c>
      <c r="AF87" s="9">
        <f>AG87*'PAG20 FE GE'!$C$2+AH87*'PAG20 FE GE'!$C$3+AI87*'PAG20 FE GE'!$C$4</f>
        <v>725.70946800000002</v>
      </c>
      <c r="AG87" s="9">
        <v>715.97</v>
      </c>
      <c r="AH87" s="9">
        <f>4.819/1000</f>
        <v>4.8190000000000004E-3</v>
      </c>
      <c r="AI87" s="9">
        <f>32.5/1000</f>
        <v>3.2500000000000001E-2</v>
      </c>
      <c r="AJ87" s="13">
        <f t="shared" si="39"/>
        <v>28.766748513906165</v>
      </c>
      <c r="AK87" t="s">
        <v>424</v>
      </c>
      <c r="AL87" t="s">
        <v>790</v>
      </c>
    </row>
    <row r="88" spans="1:38" ht="15.75" thickBot="1" x14ac:dyDescent="0.3">
      <c r="A88" s="4" t="s">
        <v>46</v>
      </c>
      <c r="B88" s="7" t="s">
        <v>78</v>
      </c>
      <c r="C88" s="5" t="s">
        <v>3</v>
      </c>
      <c r="D88" s="6" t="s">
        <v>6</v>
      </c>
      <c r="E88" s="6" t="str">
        <f t="shared" si="35"/>
        <v>Pesado de Mercadorias N3: 20-28 t : Gasóleo : E6</v>
      </c>
      <c r="F88" s="6" t="s">
        <v>55</v>
      </c>
      <c r="G88" s="6" t="s">
        <v>96</v>
      </c>
      <c r="H88" s="9">
        <f>IF(G88="MJ",INDEX(Tabela1[Energia (MJ/Qtd.)],MATCH(C88,Tabela1[Fuel],0)),IF(G88="GJ",INDEX(Tabela1[Energia (GJ/Qtd.)2],MATCH(C88,Tabela1[Fuel],0)),"XXX"))</f>
        <v>3.5868000000000004E-2</v>
      </c>
      <c r="I88" s="9">
        <f>O88*'PAG100 FE GE'!$E$2+P88*'PAG100 FE GE'!$E$3+Q88*'PAG100 FE GE'!$E$4</f>
        <v>70199.164000000004</v>
      </c>
      <c r="J88" s="9">
        <f>O88*'PAG20 FE GE'!$E$2+P88*'PAG20 FE GE'!$E$3+Q88*'PAG20 FE GE'!$E$4</f>
        <v>70223.682000000001</v>
      </c>
      <c r="K88" s="9">
        <f>O88*'PAG100 FE GE'!$D$2+P88*'PAG100 FE GE'!$D$3+Q88*'PAG100 FE GE'!$D$4</f>
        <v>70173.53</v>
      </c>
      <c r="L88" s="9">
        <f>O88*'PAG20 FE GE'!$D$2+P88*'PAG20 FE GE'!$D$3+Q88*'PAG20 FE GE'!$D$4</f>
        <v>70196.540000000008</v>
      </c>
      <c r="M88" s="9">
        <f>O88*'PAG100 FE GE'!$C$2+P88*'PAG100 FE GE'!$C$3+Q88*'PAG100 FE GE'!$C$4</f>
        <v>70278.080000000002</v>
      </c>
      <c r="N88" s="9">
        <f>O88*'PAG20 FE GE'!$C$2+P88*'PAG20 FE GE'!$C$3+Q88*'PAG20 FE GE'!$C$4</f>
        <v>70270.81</v>
      </c>
      <c r="O88" s="9">
        <f>69.31*1000</f>
        <v>69310</v>
      </c>
      <c r="P88" s="9">
        <f>0.00046*1000</f>
        <v>0.46</v>
      </c>
      <c r="Q88" s="9">
        <f>0.00321*1000</f>
        <v>3.21</v>
      </c>
      <c r="R88" s="9">
        <f>X88*'PAG100 FE GE'!$E$2+Y88*'PAG100 FE GE'!$E$3+Z88*'PAG100 FE GE'!$E$4</f>
        <v>2517.9036143520002</v>
      </c>
      <c r="S88" s="9">
        <f>X88*'PAG20 FE GE'!$E$2+Y88*'PAG20 FE GE'!$E$3+Z88*'PAG20 FE GE'!$E$4</f>
        <v>2518.7830259760003</v>
      </c>
      <c r="T88" s="9">
        <f>X88*'PAG100 FE GE'!$D$2+Y88*'PAG100 FE GE'!$D$3+Z88*'PAG100 FE GE'!$D$4</f>
        <v>2516.9841740400002</v>
      </c>
      <c r="U88" s="9">
        <f>X88*'PAG20 FE GE'!$D$2+Y88*'PAG20 FE GE'!$D$3+Z88*'PAG20 FE GE'!$D$4</f>
        <v>2517.80949672</v>
      </c>
      <c r="V88" s="9">
        <f>X88*'PAG100 FE GE'!$C$2+Y88*'PAG100 FE GE'!$C$3+Z88*'PAG100 FE GE'!$C$4</f>
        <v>2520.7341734400006</v>
      </c>
      <c r="W88" s="9">
        <f>X88*'PAG20 FE GE'!$C$2+Y88*'PAG20 FE GE'!$C$3+Z88*'PAG20 FE GE'!$C$4</f>
        <v>2520.4734130800002</v>
      </c>
      <c r="X88" s="9">
        <f t="shared" si="36"/>
        <v>2486.0110800000002</v>
      </c>
      <c r="Y88" s="9">
        <f t="shared" si="37"/>
        <v>1.6499280000000002E-2</v>
      </c>
      <c r="Z88" s="9">
        <f t="shared" si="38"/>
        <v>0.11513628000000001</v>
      </c>
      <c r="AA88" s="9">
        <f>AG88*'PAG100 FE GE'!$E$2+AH88*'PAG100 FE GE'!$E$3+AI88*'PAG100 FE GE'!$E$4</f>
        <v>734.82725010000001</v>
      </c>
      <c r="AB88" s="9">
        <f>AG88*'PAG20 FE GE'!$E$2+AH88*'PAG20 FE GE'!$E$3+AI88*'PAG20 FE GE'!$E$4</f>
        <v>735.08410279999998</v>
      </c>
      <c r="AC88" s="9">
        <f>AG88*'PAG100 FE GE'!$D$2+AH88*'PAG100 FE GE'!$D$3+AI88*'PAG100 FE GE'!$D$4</f>
        <v>734.55893200000003</v>
      </c>
      <c r="AD88" s="9">
        <f>AG88*'PAG20 FE GE'!$D$2+AH88*'PAG20 FE GE'!$D$3+AI88*'PAG20 FE GE'!$D$4</f>
        <v>734.80001500000003</v>
      </c>
      <c r="AE88" s="9">
        <f>AG88*'PAG100 FE GE'!$C$2+AH88*'PAG100 FE GE'!$C$3+AI88*'PAG100 FE GE'!$C$4</f>
        <v>735.65327500000001</v>
      </c>
      <c r="AF88" s="9">
        <f>AG88*'PAG20 FE GE'!$C$2+AH88*'PAG20 FE GE'!$C$3+AI88*'PAG20 FE GE'!$C$4</f>
        <v>735.57736799999998</v>
      </c>
      <c r="AG88" s="9">
        <v>725.52</v>
      </c>
      <c r="AH88" s="9">
        <f>4.819/1000</f>
        <v>4.8190000000000004E-3</v>
      </c>
      <c r="AI88" s="9">
        <f>33.6/1000</f>
        <v>3.3600000000000005E-2</v>
      </c>
      <c r="AJ88" s="13">
        <f t="shared" si="39"/>
        <v>29.184101625162505</v>
      </c>
      <c r="AK88" t="s">
        <v>424</v>
      </c>
      <c r="AL88" t="s">
        <v>790</v>
      </c>
    </row>
    <row r="89" spans="1:38" ht="15.75" thickBot="1" x14ac:dyDescent="0.3">
      <c r="A89" s="4" t="s">
        <v>46</v>
      </c>
      <c r="B89" s="7" t="s">
        <v>78</v>
      </c>
      <c r="C89" s="5" t="s">
        <v>3</v>
      </c>
      <c r="D89" s="6" t="s">
        <v>81</v>
      </c>
      <c r="E89" s="6" t="str">
        <f t="shared" si="35"/>
        <v>Pesado de Mercadorias N3: 20-28 t : Gasóleo : E6 D/E E7</v>
      </c>
      <c r="F89" s="6" t="s">
        <v>55</v>
      </c>
      <c r="G89" s="6" t="s">
        <v>96</v>
      </c>
      <c r="H89" s="9">
        <f>IF(G89="MJ",INDEX(Tabela1[Energia (MJ/Qtd.)],MATCH(C89,Tabela1[Fuel],0)),IF(G89="GJ",INDEX(Tabela1[Energia (GJ/Qtd.)2],MATCH(C89,Tabela1[Fuel],0)),"XXX"))</f>
        <v>3.5868000000000004E-2</v>
      </c>
      <c r="I89" s="9">
        <f>O89*'PAG100 FE GE'!$E$2+P89*'PAG100 FE GE'!$E$3+Q89*'PAG100 FE GE'!$E$4</f>
        <v>70199.164000000004</v>
      </c>
      <c r="J89" s="9">
        <f>O89*'PAG20 FE GE'!$E$2+P89*'PAG20 FE GE'!$E$3+Q89*'PAG20 FE GE'!$E$4</f>
        <v>70223.682000000001</v>
      </c>
      <c r="K89" s="9">
        <f>O89*'PAG100 FE GE'!$D$2+P89*'PAG100 FE GE'!$D$3+Q89*'PAG100 FE GE'!$D$4</f>
        <v>70173.53</v>
      </c>
      <c r="L89" s="9">
        <f>O89*'PAG20 FE GE'!$D$2+P89*'PAG20 FE GE'!$D$3+Q89*'PAG20 FE GE'!$D$4</f>
        <v>70196.540000000008</v>
      </c>
      <c r="M89" s="9">
        <f>O89*'PAG100 FE GE'!$C$2+P89*'PAG100 FE GE'!$C$3+Q89*'PAG100 FE GE'!$C$4</f>
        <v>70278.080000000002</v>
      </c>
      <c r="N89" s="9">
        <f>O89*'PAG20 FE GE'!$C$2+P89*'PAG20 FE GE'!$C$3+Q89*'PAG20 FE GE'!$C$4</f>
        <v>70270.81</v>
      </c>
      <c r="O89" s="9">
        <f>69.31*1000</f>
        <v>69310</v>
      </c>
      <c r="P89" s="9">
        <f>0.00046*1000</f>
        <v>0.46</v>
      </c>
      <c r="Q89" s="9">
        <f>0.00321*1000</f>
        <v>3.21</v>
      </c>
      <c r="R89" s="9">
        <f>X89*'PAG100 FE GE'!$E$2+Y89*'PAG100 FE GE'!$E$3+Z89*'PAG100 FE GE'!$E$4</f>
        <v>2517.9036143520002</v>
      </c>
      <c r="S89" s="9">
        <f>X89*'PAG20 FE GE'!$E$2+Y89*'PAG20 FE GE'!$E$3+Z89*'PAG20 FE GE'!$E$4</f>
        <v>2518.7830259760003</v>
      </c>
      <c r="T89" s="9">
        <f>X89*'PAG100 FE GE'!$D$2+Y89*'PAG100 FE GE'!$D$3+Z89*'PAG100 FE GE'!$D$4</f>
        <v>2516.9841740400002</v>
      </c>
      <c r="U89" s="9">
        <f>X89*'PAG20 FE GE'!$D$2+Y89*'PAG20 FE GE'!$D$3+Z89*'PAG20 FE GE'!$D$4</f>
        <v>2517.80949672</v>
      </c>
      <c r="V89" s="9">
        <f>X89*'PAG100 FE GE'!$C$2+Y89*'PAG100 FE GE'!$C$3+Z89*'PAG100 FE GE'!$C$4</f>
        <v>2520.7341734400006</v>
      </c>
      <c r="W89" s="9">
        <f>X89*'PAG20 FE GE'!$C$2+Y89*'PAG20 FE GE'!$C$3+Z89*'PAG20 FE GE'!$C$4</f>
        <v>2520.4734130800002</v>
      </c>
      <c r="X89" s="9">
        <f t="shared" si="36"/>
        <v>2486.0110800000002</v>
      </c>
      <c r="Y89" s="9">
        <f t="shared" si="37"/>
        <v>1.6499280000000002E-2</v>
      </c>
      <c r="Z89" s="9">
        <f t="shared" si="38"/>
        <v>0.11513628000000001</v>
      </c>
      <c r="AA89" s="9">
        <f>AG89*'PAG100 FE GE'!$E$2+AH89*'PAG100 FE GE'!$E$3+AI89*'PAG100 FE GE'!$E$4</f>
        <v>735.54725010000004</v>
      </c>
      <c r="AB89" s="9">
        <f>AG89*'PAG20 FE GE'!$E$2+AH89*'PAG20 FE GE'!$E$3+AI89*'PAG20 FE GE'!$E$4</f>
        <v>735.80410280000001</v>
      </c>
      <c r="AC89" s="9">
        <f>AG89*'PAG100 FE GE'!$D$2+AH89*'PAG100 FE GE'!$D$3+AI89*'PAG100 FE GE'!$D$4</f>
        <v>735.27893200000005</v>
      </c>
      <c r="AD89" s="9">
        <f>AG89*'PAG20 FE GE'!$D$2+AH89*'PAG20 FE GE'!$D$3+AI89*'PAG20 FE GE'!$D$4</f>
        <v>735.52001500000006</v>
      </c>
      <c r="AE89" s="9">
        <f>AG89*'PAG100 FE GE'!$C$2+AH89*'PAG100 FE GE'!$C$3+AI89*'PAG100 FE GE'!$C$4</f>
        <v>736.37327500000004</v>
      </c>
      <c r="AF89" s="9">
        <f>AG89*'PAG20 FE GE'!$C$2+AH89*'PAG20 FE GE'!$C$3+AI89*'PAG20 FE GE'!$C$4</f>
        <v>736.29736800000001</v>
      </c>
      <c r="AG89" s="9">
        <v>726.24</v>
      </c>
      <c r="AH89" s="9">
        <f>4.819/1000</f>
        <v>4.8190000000000004E-3</v>
      </c>
      <c r="AI89" s="9">
        <f>33.6/1000</f>
        <v>3.3600000000000005E-2</v>
      </c>
      <c r="AJ89" s="13">
        <f t="shared" si="39"/>
        <v>29.213063684334017</v>
      </c>
      <c r="AK89" t="s">
        <v>424</v>
      </c>
      <c r="AL89" t="s">
        <v>790</v>
      </c>
    </row>
    <row r="90" spans="1:38" ht="15.75" thickBot="1" x14ac:dyDescent="0.3">
      <c r="A90" s="4" t="s">
        <v>46</v>
      </c>
      <c r="B90" s="7" t="s">
        <v>80</v>
      </c>
      <c r="C90" s="5" t="s">
        <v>3</v>
      </c>
      <c r="D90" s="6" t="s">
        <v>8</v>
      </c>
      <c r="E90" s="6" t="str">
        <f t="shared" si="35"/>
        <v>Pesado de Mercadorias N3: &gt;28 t : Gasóleo : E0</v>
      </c>
      <c r="F90" s="6" t="s">
        <v>55</v>
      </c>
      <c r="G90" s="6" t="s">
        <v>96</v>
      </c>
      <c r="H90" s="9">
        <f>IF(G90="MJ",INDEX(Tabela1[Energia (MJ/Qtd.)],MATCH(C90,Tabela1[Fuel],0)),IF(G90="GJ",INDEX(Tabela1[Energia (GJ/Qtd.)2],MATCH(C90,Tabela1[Fuel],0)),"XXX"))</f>
        <v>3.5868000000000004E-2</v>
      </c>
      <c r="I90" s="9">
        <f>O90*'PAG100 FE GE'!$E$2+P90*'PAG100 FE GE'!$E$3+Q90*'PAG100 FE GE'!$E$4</f>
        <v>69775.620999999999</v>
      </c>
      <c r="J90" s="9">
        <f>O90*'PAG20 FE GE'!$E$2+P90*'PAG20 FE GE'!$E$3+Q90*'PAG20 FE GE'!$E$4</f>
        <v>70153.517999999996</v>
      </c>
      <c r="K90" s="9">
        <f>O90*'PAG100 FE GE'!$D$2+P90*'PAG100 FE GE'!$D$3+Q90*'PAG100 FE GE'!$D$4</f>
        <v>69760.570000000007</v>
      </c>
      <c r="L90" s="9">
        <f>O90*'PAG20 FE GE'!$D$2+P90*'PAG20 FE GE'!$D$3+Q90*'PAG20 FE GE'!$D$4</f>
        <v>70162.73</v>
      </c>
      <c r="M90" s="9">
        <f>O90*'PAG100 FE GE'!$C$2+P90*'PAG100 FE GE'!$C$3+Q90*'PAG100 FE GE'!$C$4</f>
        <v>69804.31</v>
      </c>
      <c r="N90" s="9">
        <f>O90*'PAG20 FE GE'!$C$2+P90*'PAG20 FE GE'!$C$3+Q90*'PAG20 FE GE'!$C$4</f>
        <v>70119.81</v>
      </c>
      <c r="O90" s="9">
        <f>69.04*1000</f>
        <v>69040</v>
      </c>
      <c r="P90" s="9">
        <f>0.00709*1000</f>
        <v>7.09</v>
      </c>
      <c r="Q90" s="9">
        <f>0.00197*1000</f>
        <v>1.97</v>
      </c>
      <c r="R90" s="9">
        <f>X90*'PAG100 FE GE'!$E$2+Y90*'PAG100 FE GE'!$E$3+Z90*'PAG100 FE GE'!$E$4</f>
        <v>2502.7119740280004</v>
      </c>
      <c r="S90" s="9">
        <f>X90*'PAG20 FE GE'!$E$2+Y90*'PAG20 FE GE'!$E$3+Z90*'PAG20 FE GE'!$E$4</f>
        <v>2516.2663836240004</v>
      </c>
      <c r="T90" s="9">
        <f>X90*'PAG100 FE GE'!$D$2+Y90*'PAG100 FE GE'!$D$3+Z90*'PAG100 FE GE'!$D$4</f>
        <v>2502.1721247600003</v>
      </c>
      <c r="U90" s="9">
        <f>X90*'PAG20 FE GE'!$D$2+Y90*'PAG20 FE GE'!$D$3+Z90*'PAG20 FE GE'!$D$4</f>
        <v>2516.5967996400004</v>
      </c>
      <c r="V90" s="9">
        <f>X90*'PAG100 FE GE'!$C$2+Y90*'PAG100 FE GE'!$C$3+Z90*'PAG100 FE GE'!$C$4</f>
        <v>2503.7409910800002</v>
      </c>
      <c r="W90" s="9">
        <f>X90*'PAG20 FE GE'!$C$2+Y90*'PAG20 FE GE'!$C$3+Z90*'PAG20 FE GE'!$C$4</f>
        <v>2515.0573450800002</v>
      </c>
      <c r="X90" s="9">
        <f t="shared" si="36"/>
        <v>2476.3267200000005</v>
      </c>
      <c r="Y90" s="9">
        <f t="shared" si="37"/>
        <v>0.25430412000000002</v>
      </c>
      <c r="Z90" s="9">
        <f t="shared" si="38"/>
        <v>7.0659960000000008E-2</v>
      </c>
      <c r="AA90" s="9">
        <f>AG90*'PAG100 FE GE'!$E$2+AH90*'PAG100 FE GE'!$E$3+AI90*'PAG100 FE GE'!$E$4</f>
        <v>1063.0142323</v>
      </c>
      <c r="AB90" s="9">
        <f>AG90*'PAG20 FE GE'!$E$2+AH90*'PAG20 FE GE'!$E$3+AI90*'PAG20 FE GE'!$E$4</f>
        <v>1068.7726044000001</v>
      </c>
      <c r="AC90" s="9">
        <f>AG90*'PAG100 FE GE'!$D$2+AH90*'PAG100 FE GE'!$D$3+AI90*'PAG100 FE GE'!$D$4</f>
        <v>1062.785036</v>
      </c>
      <c r="AD90" s="9">
        <f>AG90*'PAG20 FE GE'!$D$2+AH90*'PAG20 FE GE'!$D$3+AI90*'PAG20 FE GE'!$D$4</f>
        <v>1068.913145</v>
      </c>
      <c r="AE90" s="9">
        <f>AG90*'PAG100 FE GE'!$C$2+AH90*'PAG100 FE GE'!$C$3+AI90*'PAG100 FE GE'!$C$4</f>
        <v>1063.4509250000001</v>
      </c>
      <c r="AF90" s="9">
        <f>AG90*'PAG20 FE GE'!$C$2+AH90*'PAG20 FE GE'!$C$3+AI90*'PAG20 FE GE'!$C$4</f>
        <v>1068.258664</v>
      </c>
      <c r="AG90" s="9">
        <v>1051.81</v>
      </c>
      <c r="AH90" s="9">
        <f>108.037/1000</f>
        <v>0.10803700000000001</v>
      </c>
      <c r="AI90" s="9">
        <v>0.03</v>
      </c>
      <c r="AJ90" s="13">
        <f t="shared" si="39"/>
        <v>42.474605289563719</v>
      </c>
      <c r="AK90" t="s">
        <v>424</v>
      </c>
      <c r="AL90" t="s">
        <v>790</v>
      </c>
    </row>
    <row r="91" spans="1:38" ht="15.75" thickBot="1" x14ac:dyDescent="0.3">
      <c r="A91" s="4" t="s">
        <v>46</v>
      </c>
      <c r="B91" s="7" t="s">
        <v>80</v>
      </c>
      <c r="C91" s="5" t="s">
        <v>3</v>
      </c>
      <c r="D91" s="6" t="s">
        <v>7</v>
      </c>
      <c r="E91" s="6" t="str">
        <f t="shared" si="35"/>
        <v>Pesado de Mercadorias N3: &gt;28 t : Gasóleo : E1</v>
      </c>
      <c r="F91" s="6" t="s">
        <v>55</v>
      </c>
      <c r="G91" s="6" t="s">
        <v>96</v>
      </c>
      <c r="H91" s="9">
        <f>IF(G91="MJ",INDEX(Tabela1[Energia (MJ/Qtd.)],MATCH(C91,Tabela1[Fuel],0)),IF(G91="GJ",INDEX(Tabela1[Energia (GJ/Qtd.)2],MATCH(C91,Tabela1[Fuel],0)),"XXX"))</f>
        <v>3.5868000000000004E-2</v>
      </c>
      <c r="I91" s="9">
        <f>O91*'PAG100 FE GE'!$E$2+P91*'PAG100 FE GE'!$E$3+Q91*'PAG100 FE GE'!$E$4</f>
        <v>69549.428</v>
      </c>
      <c r="J91" s="9">
        <f>O91*'PAG20 FE GE'!$E$2+P91*'PAG20 FE GE'!$E$3+Q91*'PAG20 FE GE'!$E$4</f>
        <v>69971.564000000013</v>
      </c>
      <c r="K91" s="9">
        <f>O91*'PAG100 FE GE'!$D$2+P91*'PAG100 FE GE'!$D$3+Q91*'PAG100 FE GE'!$D$4</f>
        <v>69542.06</v>
      </c>
      <c r="L91" s="9">
        <f>O91*'PAG20 FE GE'!$D$2+P91*'PAG20 FE GE'!$D$3+Q91*'PAG20 FE GE'!$D$4</f>
        <v>69992.479999999996</v>
      </c>
      <c r="M91" s="9">
        <f>O91*'PAG100 FE GE'!$C$2+P91*'PAG100 FE GE'!$C$3+Q91*'PAG100 FE GE'!$C$4</f>
        <v>69551.960000000006</v>
      </c>
      <c r="N91" s="9">
        <f>O91*'PAG20 FE GE'!$C$2+P91*'PAG20 FE GE'!$C$3+Q91*'PAG20 FE GE'!$C$4</f>
        <v>69915.02</v>
      </c>
      <c r="O91" s="9">
        <f>69.05*1000</f>
        <v>69050</v>
      </c>
      <c r="P91" s="9">
        <f>0.00792*1000</f>
        <v>7.92</v>
      </c>
      <c r="Q91" s="9">
        <f>0.00102*1000</f>
        <v>1.02</v>
      </c>
      <c r="R91" s="9">
        <f>X91*'PAG100 FE GE'!$E$2+Y91*'PAG100 FE GE'!$E$3+Z91*'PAG100 FE GE'!$E$4</f>
        <v>2494.5988835040007</v>
      </c>
      <c r="S91" s="9">
        <f>X91*'PAG20 FE GE'!$E$2+Y91*'PAG20 FE GE'!$E$3+Z91*'PAG20 FE GE'!$E$4</f>
        <v>2509.7400575520005</v>
      </c>
      <c r="T91" s="9">
        <f>X91*'PAG100 FE GE'!$D$2+Y91*'PAG100 FE GE'!$D$3+Z91*'PAG100 FE GE'!$D$4</f>
        <v>2494.3346080800006</v>
      </c>
      <c r="U91" s="9">
        <f>X91*'PAG20 FE GE'!$D$2+Y91*'PAG20 FE GE'!$D$3+Z91*'PAG20 FE GE'!$D$4</f>
        <v>2510.4902726400005</v>
      </c>
      <c r="V91" s="9">
        <f>X91*'PAG100 FE GE'!$C$2+Y91*'PAG100 FE GE'!$C$3+Z91*'PAG100 FE GE'!$C$4</f>
        <v>2494.6897012800005</v>
      </c>
      <c r="W91" s="9">
        <f>X91*'PAG20 FE GE'!$C$2+Y91*'PAG20 FE GE'!$C$3+Z91*'PAG20 FE GE'!$C$4</f>
        <v>2507.7119373600003</v>
      </c>
      <c r="X91" s="9">
        <f t="shared" si="36"/>
        <v>2476.6854000000003</v>
      </c>
      <c r="Y91" s="9">
        <f t="shared" si="37"/>
        <v>0.28407456000000003</v>
      </c>
      <c r="Z91" s="9">
        <f t="shared" si="38"/>
        <v>3.6585360000000004E-2</v>
      </c>
      <c r="AA91" s="9">
        <f>AG91*'PAG100 FE GE'!$E$2+AH91*'PAG100 FE GE'!$E$3+AI91*'PAG100 FE GE'!$E$4</f>
        <v>948.14258230000007</v>
      </c>
      <c r="AB91" s="9">
        <f>AG91*'PAG20 FE GE'!$E$2+AH91*'PAG20 FE GE'!$E$3+AI91*'PAG20 FE GE'!$E$4</f>
        <v>953.90095440000005</v>
      </c>
      <c r="AC91" s="9">
        <f>AG91*'PAG100 FE GE'!$D$2+AH91*'PAG100 FE GE'!$D$3+AI91*'PAG100 FE GE'!$D$4</f>
        <v>948.041786</v>
      </c>
      <c r="AD91" s="9">
        <f>AG91*'PAG20 FE GE'!$D$2+AH91*'PAG20 FE GE'!$D$3+AI91*'PAG20 FE GE'!$D$4</f>
        <v>954.18594500000006</v>
      </c>
      <c r="AE91" s="9">
        <f>AG91*'PAG100 FE GE'!$C$2+AH91*'PAG100 FE GE'!$C$3+AI91*'PAG100 FE GE'!$C$4</f>
        <v>948.17802500000005</v>
      </c>
      <c r="AF91" s="9">
        <f>AG91*'PAG20 FE GE'!$C$2+AH91*'PAG20 FE GE'!$C$3+AI91*'PAG20 FE GE'!$C$4</f>
        <v>953.13021400000014</v>
      </c>
      <c r="AG91" s="9">
        <v>941.32</v>
      </c>
      <c r="AH91" s="9">
        <f>108.037/1000</f>
        <v>0.10803700000000001</v>
      </c>
      <c r="AI91" s="9">
        <f>13.95/1000</f>
        <v>1.3949999999999999E-2</v>
      </c>
      <c r="AJ91" s="13">
        <f t="shared" si="39"/>
        <v>38.007249527937617</v>
      </c>
      <c r="AK91" t="s">
        <v>424</v>
      </c>
      <c r="AL91" t="s">
        <v>790</v>
      </c>
    </row>
    <row r="92" spans="1:38" ht="15.75" thickBot="1" x14ac:dyDescent="0.3">
      <c r="A92" s="4" t="s">
        <v>46</v>
      </c>
      <c r="B92" s="7" t="s">
        <v>80</v>
      </c>
      <c r="C92" s="5" t="s">
        <v>3</v>
      </c>
      <c r="D92" s="6" t="s">
        <v>9</v>
      </c>
      <c r="E92" s="6" t="str">
        <f t="shared" si="35"/>
        <v>Pesado de Mercadorias N3: &gt;28 t : Gasóleo : E2</v>
      </c>
      <c r="F92" s="6" t="s">
        <v>55</v>
      </c>
      <c r="G92" s="6" t="s">
        <v>96</v>
      </c>
      <c r="H92" s="9">
        <f>IF(G92="MJ",INDEX(Tabela1[Energia (MJ/Qtd.)],MATCH(C92,Tabela1[Fuel],0)),IF(G92="GJ",INDEX(Tabela1[Energia (GJ/Qtd.)2],MATCH(C92,Tabela1[Fuel],0)),"XXX"))</f>
        <v>3.5868000000000004E-2</v>
      </c>
      <c r="I92" s="9">
        <f>O92*'PAG100 FE GE'!$E$2+P92*'PAG100 FE GE'!$E$3+Q92*'PAG100 FE GE'!$E$4</f>
        <v>69496.478000000003</v>
      </c>
      <c r="J92" s="9">
        <f>O92*'PAG20 FE GE'!$E$2+P92*'PAG20 FE GE'!$E$3+Q92*'PAG20 FE GE'!$E$4</f>
        <v>69822.673999999999</v>
      </c>
      <c r="K92" s="9">
        <f>O92*'PAG100 FE GE'!$D$2+P92*'PAG100 FE GE'!$D$3+Q92*'PAG100 FE GE'!$D$4</f>
        <v>69489.009999999995</v>
      </c>
      <c r="L92" s="9">
        <f>O92*'PAG20 FE GE'!$D$2+P92*'PAG20 FE GE'!$D$3+Q92*'PAG20 FE GE'!$D$4</f>
        <v>69836.84</v>
      </c>
      <c r="M92" s="9">
        <f>O92*'PAG100 FE GE'!$C$2+P92*'PAG100 FE GE'!$C$3+Q92*'PAG100 FE GE'!$C$4</f>
        <v>69503.98</v>
      </c>
      <c r="N92" s="9">
        <f>O92*'PAG20 FE GE'!$C$2+P92*'PAG20 FE GE'!$C$3+Q92*'PAG20 FE GE'!$C$4</f>
        <v>69782.53</v>
      </c>
      <c r="O92" s="9">
        <f>69.05*1000</f>
        <v>69050</v>
      </c>
      <c r="P92" s="9">
        <f>0.00612*1000</f>
        <v>6.1199999999999992</v>
      </c>
      <c r="Q92" s="9">
        <f>0.00101*1000</f>
        <v>1.01</v>
      </c>
      <c r="R92" s="9">
        <f>X92*'PAG100 FE GE'!$E$2+Y92*'PAG100 FE GE'!$E$3+Z92*'PAG100 FE GE'!$E$4</f>
        <v>2492.6996729040002</v>
      </c>
      <c r="S92" s="9">
        <f>X92*'PAG20 FE GE'!$E$2+Y92*'PAG20 FE GE'!$E$3+Z92*'PAG20 FE GE'!$E$4</f>
        <v>2504.3996710320002</v>
      </c>
      <c r="T92" s="9">
        <f>X92*'PAG100 FE GE'!$D$2+Y92*'PAG100 FE GE'!$D$3+Z92*'PAG100 FE GE'!$D$4</f>
        <v>2492.4318106800006</v>
      </c>
      <c r="U92" s="9">
        <f>X92*'PAG20 FE GE'!$D$2+Y92*'PAG20 FE GE'!$D$3+Z92*'PAG20 FE GE'!$D$4</f>
        <v>2504.90777712</v>
      </c>
      <c r="V92" s="9">
        <f>X92*'PAG100 FE GE'!$C$2+Y92*'PAG100 FE GE'!$C$3+Z92*'PAG100 FE GE'!$C$4</f>
        <v>2492.96875464</v>
      </c>
      <c r="W92" s="9">
        <f>X92*'PAG20 FE GE'!$C$2+Y92*'PAG20 FE GE'!$C$3+Z92*'PAG20 FE GE'!$C$4</f>
        <v>2502.9597860400004</v>
      </c>
      <c r="X92" s="9">
        <f t="shared" si="36"/>
        <v>2476.6854000000003</v>
      </c>
      <c r="Y92" s="9">
        <f t="shared" si="37"/>
        <v>0.21951215999999998</v>
      </c>
      <c r="Z92" s="9">
        <f t="shared" si="38"/>
        <v>3.6226680000000004E-2</v>
      </c>
      <c r="AA92" s="9">
        <f>AG92*'PAG100 FE GE'!$E$2+AH92*'PAG100 FE GE'!$E$3+AI92*'PAG100 FE GE'!$E$4</f>
        <v>932.39143839999997</v>
      </c>
      <c r="AB92" s="9">
        <f>AG92*'PAG20 FE GE'!$E$2+AH92*'PAG20 FE GE'!$E$3+AI92*'PAG20 FE GE'!$E$4</f>
        <v>936.76715519999993</v>
      </c>
      <c r="AC92" s="9">
        <f>AG92*'PAG100 FE GE'!$D$2+AH92*'PAG100 FE GE'!$D$3+AI92*'PAG100 FE GE'!$D$4</f>
        <v>932.29148799999996</v>
      </c>
      <c r="AD92" s="9">
        <f>AG92*'PAG20 FE GE'!$D$2+AH92*'PAG20 FE GE'!$D$3+AI92*'PAG20 FE GE'!$D$4</f>
        <v>936.95744000000002</v>
      </c>
      <c r="AE92" s="9">
        <f>AG92*'PAG100 FE GE'!$C$2+AH92*'PAG100 FE GE'!$C$3+AI92*'PAG100 FE GE'!$C$4</f>
        <v>932.49135999999999</v>
      </c>
      <c r="AF92" s="9">
        <f>AG92*'PAG20 FE GE'!$C$2+AH92*'PAG20 FE GE'!$C$3+AI92*'PAG20 FE GE'!$C$4</f>
        <v>936.22819200000004</v>
      </c>
      <c r="AG92" s="9">
        <v>926.41</v>
      </c>
      <c r="AH92" s="9">
        <f>82.096/1000</f>
        <v>8.2096000000000002E-2</v>
      </c>
      <c r="AI92" s="9">
        <f>13.52/1000</f>
        <v>1.3519999999999999E-2</v>
      </c>
      <c r="AJ92" s="13">
        <f t="shared" si="39"/>
        <v>37.405235239001286</v>
      </c>
      <c r="AK92" t="s">
        <v>424</v>
      </c>
      <c r="AL92" t="s">
        <v>790</v>
      </c>
    </row>
    <row r="93" spans="1:38" ht="15.75" thickBot="1" x14ac:dyDescent="0.3">
      <c r="A93" s="4" t="s">
        <v>46</v>
      </c>
      <c r="B93" s="7" t="s">
        <v>80</v>
      </c>
      <c r="C93" s="5" t="s">
        <v>3</v>
      </c>
      <c r="D93" s="6" t="s">
        <v>10</v>
      </c>
      <c r="E93" s="6" t="str">
        <f t="shared" si="35"/>
        <v>Pesado de Mercadorias N3: &gt;28 t : Gasóleo : E3</v>
      </c>
      <c r="F93" s="6" t="s">
        <v>55</v>
      </c>
      <c r="G93" s="6" t="s">
        <v>96</v>
      </c>
      <c r="H93" s="9">
        <f>IF(G93="MJ",INDEX(Tabela1[Energia (MJ/Qtd.)],MATCH(C93,Tabela1[Fuel],0)),IF(G93="GJ",INDEX(Tabela1[Energia (GJ/Qtd.)2],MATCH(C93,Tabela1[Fuel],0)),"XXX"))</f>
        <v>3.5868000000000004E-2</v>
      </c>
      <c r="I93" s="9">
        <f>O93*'PAG100 FE GE'!$E$2+P93*'PAG100 FE GE'!$E$3+Q93*'PAG100 FE GE'!$E$4</f>
        <v>69366.035000000003</v>
      </c>
      <c r="J93" s="9">
        <f>O93*'PAG20 FE GE'!$E$2+P93*'PAG20 FE GE'!$E$3+Q93*'PAG20 FE GE'!$E$4</f>
        <v>69672.509999999995</v>
      </c>
      <c r="K93" s="9">
        <f>O93*'PAG100 FE GE'!$D$2+P93*'PAG100 FE GE'!$D$3+Q93*'PAG100 FE GE'!$D$4</f>
        <v>69362.05</v>
      </c>
      <c r="L93" s="9">
        <f>O93*'PAG20 FE GE'!$D$2+P93*'PAG20 FE GE'!$D$3+Q93*'PAG20 FE GE'!$D$4</f>
        <v>69689.23</v>
      </c>
      <c r="M93" s="9">
        <f>O93*'PAG100 FE GE'!$C$2+P93*'PAG100 FE GE'!$C$3+Q93*'PAG100 FE GE'!$C$4</f>
        <v>69363.61</v>
      </c>
      <c r="N93" s="9">
        <f>O93*'PAG20 FE GE'!$C$2+P93*'PAG20 FE GE'!$C$3+Q93*'PAG20 FE GE'!$C$4</f>
        <v>69628.73</v>
      </c>
      <c r="O93" s="9">
        <f>69.05*1000</f>
        <v>69050</v>
      </c>
      <c r="P93" s="9">
        <f>0.00575*1000</f>
        <v>5.75</v>
      </c>
      <c r="Q93" s="9">
        <f>0.00057*1000</f>
        <v>0.56999999999999995</v>
      </c>
      <c r="R93" s="9">
        <f>X93*'PAG100 FE GE'!$E$2+Y93*'PAG100 FE GE'!$E$3+Z93*'PAG100 FE GE'!$E$4</f>
        <v>2488.0209433800005</v>
      </c>
      <c r="S93" s="9">
        <f>X93*'PAG20 FE GE'!$E$2+Y93*'PAG20 FE GE'!$E$3+Z93*'PAG20 FE GE'!$E$4</f>
        <v>2499.0135886800003</v>
      </c>
      <c r="T93" s="9">
        <f>X93*'PAG100 FE GE'!$D$2+Y93*'PAG100 FE GE'!$D$3+Z93*'PAG100 FE GE'!$D$4</f>
        <v>2487.8780094000003</v>
      </c>
      <c r="U93" s="9">
        <f>X93*'PAG20 FE GE'!$D$2+Y93*'PAG20 FE GE'!$D$3+Z93*'PAG20 FE GE'!$D$4</f>
        <v>2499.6133016400004</v>
      </c>
      <c r="V93" s="9">
        <f>X93*'PAG100 FE GE'!$C$2+Y93*'PAG100 FE GE'!$C$3+Z93*'PAG100 FE GE'!$C$4</f>
        <v>2487.9339634800003</v>
      </c>
      <c r="W93" s="9">
        <f>X93*'PAG20 FE GE'!$C$2+Y93*'PAG20 FE GE'!$C$3+Z93*'PAG20 FE GE'!$C$4</f>
        <v>2497.4432876400006</v>
      </c>
      <c r="X93" s="9">
        <f t="shared" si="36"/>
        <v>2476.6854000000003</v>
      </c>
      <c r="Y93" s="9">
        <f t="shared" si="37"/>
        <v>0.20624100000000004</v>
      </c>
      <c r="Z93" s="9">
        <f t="shared" si="38"/>
        <v>2.0444759999999999E-2</v>
      </c>
      <c r="AA93" s="9">
        <f>AG93*'PAG100 FE GE'!$E$2+AH93*'PAG100 FE GE'!$E$3+AI93*'PAG100 FE GE'!$E$4</f>
        <v>935.44961469999998</v>
      </c>
      <c r="AB93" s="9">
        <f>AG93*'PAG20 FE GE'!$E$2+AH93*'PAG20 FE GE'!$E$3+AI93*'PAG20 FE GE'!$E$4</f>
        <v>939.57999159999997</v>
      </c>
      <c r="AC93" s="9">
        <f>AG93*'PAG100 FE GE'!$D$2+AH93*'PAG100 FE GE'!$D$3+AI93*'PAG100 FE GE'!$D$4</f>
        <v>935.39560399999993</v>
      </c>
      <c r="AD93" s="9">
        <f>AG93*'PAG20 FE GE'!$D$2+AH93*'PAG20 FE GE'!$D$3+AI93*'PAG20 FE GE'!$D$4</f>
        <v>939.80498499999999</v>
      </c>
      <c r="AE93" s="9">
        <f>AG93*'PAG100 FE GE'!$C$2+AH93*'PAG100 FE GE'!$C$3+AI93*'PAG100 FE GE'!$C$4</f>
        <v>935.41788499999996</v>
      </c>
      <c r="AF93" s="9">
        <f>AG93*'PAG20 FE GE'!$C$2+AH93*'PAG20 FE GE'!$C$3+AI93*'PAG20 FE GE'!$C$4</f>
        <v>938.99057599999992</v>
      </c>
      <c r="AG93" s="9">
        <v>931.18</v>
      </c>
      <c r="AH93" s="9">
        <f>77.493/1000</f>
        <v>7.7492999999999992E-2</v>
      </c>
      <c r="AI93" s="9">
        <f>7.72/1000</f>
        <v>7.7199999999999994E-3</v>
      </c>
      <c r="AJ93" s="13">
        <f t="shared" si="39"/>
        <v>37.597831359606673</v>
      </c>
      <c r="AK93" t="s">
        <v>424</v>
      </c>
      <c r="AL93" t="s">
        <v>790</v>
      </c>
    </row>
    <row r="94" spans="1:38" ht="15.75" thickBot="1" x14ac:dyDescent="0.3">
      <c r="A94" s="4" t="s">
        <v>46</v>
      </c>
      <c r="B94" s="7" t="s">
        <v>80</v>
      </c>
      <c r="C94" s="5" t="s">
        <v>3</v>
      </c>
      <c r="D94" s="6" t="s">
        <v>4</v>
      </c>
      <c r="E94" s="6" t="str">
        <f t="shared" si="35"/>
        <v>Pesado de Mercadorias N3: &gt;28 t : Gasóleo : E4</v>
      </c>
      <c r="F94" s="6" t="s">
        <v>55</v>
      </c>
      <c r="G94" s="6" t="s">
        <v>96</v>
      </c>
      <c r="H94" s="9">
        <f>IF(G94="MJ",INDEX(Tabela1[Energia (MJ/Qtd.)],MATCH(C94,Tabela1[Fuel],0)),IF(G94="GJ",INDEX(Tabela1[Energia (GJ/Qtd.)2],MATCH(C94,Tabela1[Fuel],0)),"XXX"))</f>
        <v>3.5868000000000004E-2</v>
      </c>
      <c r="I94" s="9">
        <f>O94*'PAG100 FE GE'!$E$2+P94*'PAG100 FE GE'!$E$3+Q94*'PAG100 FE GE'!$E$4</f>
        <v>69810.66</v>
      </c>
      <c r="J94" s="9">
        <f>O94*'PAG20 FE GE'!$E$2+P94*'PAG20 FE GE'!$E$3+Q94*'PAG20 FE GE'!$E$4</f>
        <v>69831.98</v>
      </c>
      <c r="K94" s="9">
        <f>O94*'PAG100 FE GE'!$D$2+P94*'PAG100 FE GE'!$D$3+Q94*'PAG100 FE GE'!$D$4</f>
        <v>69798.7</v>
      </c>
      <c r="L94" s="9">
        <f>O94*'PAG20 FE GE'!$D$2+P94*'PAG20 FE GE'!$D$3+Q94*'PAG20 FE GE'!$D$4</f>
        <v>69820</v>
      </c>
      <c r="M94" s="9">
        <f>O94*'PAG100 FE GE'!$C$2+P94*'PAG100 FE GE'!$C$3+Q94*'PAG100 FE GE'!$C$4</f>
        <v>69847</v>
      </c>
      <c r="N94" s="9">
        <f>O94*'PAG20 FE GE'!$C$2+P94*'PAG20 FE GE'!$C$3+Q94*'PAG20 FE GE'!$C$4</f>
        <v>69852.3</v>
      </c>
      <c r="O94" s="9">
        <f>69.39*1000</f>
        <v>69390</v>
      </c>
      <c r="P94" s="9">
        <f>0.0004*1000</f>
        <v>0.4</v>
      </c>
      <c r="Q94" s="9">
        <f>0.0015*1000</f>
        <v>1.5</v>
      </c>
      <c r="R94" s="9">
        <f>X94*'PAG100 FE GE'!$E$2+Y94*'PAG100 FE GE'!$E$3+Z94*'PAG100 FE GE'!$E$4</f>
        <v>2503.96875288</v>
      </c>
      <c r="S94" s="9">
        <f>X94*'PAG20 FE GE'!$E$2+Y94*'PAG20 FE GE'!$E$3+Z94*'PAG20 FE GE'!$E$4</f>
        <v>2504.7334586400002</v>
      </c>
      <c r="T94" s="9">
        <f>X94*'PAG100 FE GE'!$D$2+Y94*'PAG100 FE GE'!$D$3+Z94*'PAG100 FE GE'!$D$4</f>
        <v>2503.5397716000002</v>
      </c>
      <c r="U94" s="9">
        <f>X94*'PAG20 FE GE'!$D$2+Y94*'PAG20 FE GE'!$D$3+Z94*'PAG20 FE GE'!$D$4</f>
        <v>2504.3037600000002</v>
      </c>
      <c r="V94" s="9">
        <f>X94*'PAG100 FE GE'!$C$2+Y94*'PAG100 FE GE'!$C$3+Z94*'PAG100 FE GE'!$C$4</f>
        <v>2505.2721959999999</v>
      </c>
      <c r="W94" s="9">
        <f>X94*'PAG20 FE GE'!$C$2+Y94*'PAG20 FE GE'!$C$3+Z94*'PAG20 FE GE'!$C$4</f>
        <v>2505.4622964</v>
      </c>
      <c r="X94" s="9">
        <f t="shared" si="36"/>
        <v>2488.8805200000002</v>
      </c>
      <c r="Y94" s="9">
        <f t="shared" si="37"/>
        <v>1.4347200000000003E-2</v>
      </c>
      <c r="Z94" s="9">
        <f t="shared" si="38"/>
        <v>5.3802000000000003E-2</v>
      </c>
      <c r="AA94" s="9">
        <f>AG94*'PAG100 FE GE'!$E$2+AH94*'PAG100 FE GE'!$E$3+AI94*'PAG100 FE GE'!$E$4</f>
        <v>848.05670010000006</v>
      </c>
      <c r="AB94" s="9">
        <f>AG94*'PAG20 FE GE'!$E$2+AH94*'PAG20 FE GE'!$E$3+AI94*'PAG20 FE GE'!$E$4</f>
        <v>848.31355280000002</v>
      </c>
      <c r="AC94" s="9">
        <f>AG94*'PAG100 FE GE'!$D$2+AH94*'PAG100 FE GE'!$D$3+AI94*'PAG100 FE GE'!$D$4</f>
        <v>847.91118200000005</v>
      </c>
      <c r="AD94" s="9">
        <f>AG94*'PAG20 FE GE'!$D$2+AH94*'PAG20 FE GE'!$D$3+AI94*'PAG20 FE GE'!$D$4</f>
        <v>848.16761500000007</v>
      </c>
      <c r="AE94" s="9">
        <f>AG94*'PAG100 FE GE'!$C$2+AH94*'PAG100 FE GE'!$C$3+AI94*'PAG100 FE GE'!$C$4</f>
        <v>848.49897500000009</v>
      </c>
      <c r="AF94" s="9">
        <f>AG94*'PAG20 FE GE'!$C$2+AH94*'PAG20 FE GE'!$C$3+AI94*'PAG20 FE GE'!$C$4</f>
        <v>848.56121800000005</v>
      </c>
      <c r="AG94" s="9">
        <v>842.94</v>
      </c>
      <c r="AH94" s="9">
        <f>4.819/1000</f>
        <v>4.8190000000000004E-3</v>
      </c>
      <c r="AI94" s="9">
        <f>18.25/1000</f>
        <v>1.8249999999999999E-2</v>
      </c>
      <c r="AJ94" s="13">
        <f t="shared" si="39"/>
        <v>33.868238881953239</v>
      </c>
      <c r="AK94" t="s">
        <v>424</v>
      </c>
      <c r="AL94" t="s">
        <v>790</v>
      </c>
    </row>
    <row r="95" spans="1:38" ht="15.75" thickBot="1" x14ac:dyDescent="0.3">
      <c r="A95" s="4" t="s">
        <v>46</v>
      </c>
      <c r="B95" s="7" t="s">
        <v>80</v>
      </c>
      <c r="C95" s="5" t="s">
        <v>3</v>
      </c>
      <c r="D95" s="6" t="s">
        <v>5</v>
      </c>
      <c r="E95" s="6" t="str">
        <f t="shared" si="35"/>
        <v>Pesado de Mercadorias N3: &gt;28 t : Gasóleo : E5</v>
      </c>
      <c r="F95" s="6" t="s">
        <v>55</v>
      </c>
      <c r="G95" s="6" t="s">
        <v>96</v>
      </c>
      <c r="H95" s="9">
        <f>IF(G95="MJ",INDEX(Tabela1[Energia (MJ/Qtd.)],MATCH(C95,Tabela1[Fuel],0)),IF(G95="GJ",INDEX(Tabela1[Energia (GJ/Qtd.)2],MATCH(C95,Tabela1[Fuel],0)),"XXX"))</f>
        <v>3.5868000000000004E-2</v>
      </c>
      <c r="I95" s="9">
        <f>O95*'PAG100 FE GE'!$E$2+P95*'PAG100 FE GE'!$E$3+Q95*'PAG100 FE GE'!$E$4</f>
        <v>70588.989000000001</v>
      </c>
      <c r="J95" s="9">
        <f>O95*'PAG20 FE GE'!$E$2+P95*'PAG20 FE GE'!$E$3+Q95*'PAG20 FE GE'!$E$4</f>
        <v>70610.842000000004</v>
      </c>
      <c r="K95" s="9">
        <f>O95*'PAG100 FE GE'!$D$2+P95*'PAG100 FE GE'!$D$3+Q95*'PAG100 FE GE'!$D$4</f>
        <v>70554.23</v>
      </c>
      <c r="L95" s="9">
        <f>O95*'PAG20 FE GE'!$D$2+P95*'PAG20 FE GE'!$D$3+Q95*'PAG20 FE GE'!$D$4</f>
        <v>70573.25</v>
      </c>
      <c r="M95" s="9">
        <f>O95*'PAG100 FE GE'!$C$2+P95*'PAG100 FE GE'!$C$3+Q95*'PAG100 FE GE'!$C$4</f>
        <v>70696.55</v>
      </c>
      <c r="N95" s="9">
        <f>O95*'PAG20 FE GE'!$C$2+P95*'PAG20 FE GE'!$C$3+Q95*'PAG20 FE GE'!$C$4</f>
        <v>70676.67</v>
      </c>
      <c r="O95" s="9">
        <f>69.39*1000</f>
        <v>69390</v>
      </c>
      <c r="P95" s="9">
        <f>0.00041*1000</f>
        <v>0.41</v>
      </c>
      <c r="Q95" s="9">
        <f>0.00435*1000</f>
        <v>4.3499999999999996</v>
      </c>
      <c r="R95" s="9">
        <f>X95*'PAG100 FE GE'!$E$2+Y95*'PAG100 FE GE'!$E$3+Z95*'PAG100 FE GE'!$E$4</f>
        <v>2531.8858574520004</v>
      </c>
      <c r="S95" s="9">
        <f>X95*'PAG20 FE GE'!$E$2+Y95*'PAG20 FE GE'!$E$3+Z95*'PAG20 FE GE'!$E$4</f>
        <v>2532.6696808560005</v>
      </c>
      <c r="T95" s="9">
        <f>X95*'PAG100 FE GE'!$D$2+Y95*'PAG100 FE GE'!$D$3+Z95*'PAG100 FE GE'!$D$4</f>
        <v>2530.6391216400002</v>
      </c>
      <c r="U95" s="9">
        <f>X95*'PAG20 FE GE'!$D$2+Y95*'PAG20 FE GE'!$D$3+Z95*'PAG20 FE GE'!$D$4</f>
        <v>2531.3213310000001</v>
      </c>
      <c r="V95" s="9">
        <f>X95*'PAG100 FE GE'!$C$2+Y95*'PAG100 FE GE'!$C$3+Z95*'PAG100 FE GE'!$C$4</f>
        <v>2535.7438554</v>
      </c>
      <c r="W95" s="9">
        <f>X95*'PAG20 FE GE'!$C$2+Y95*'PAG20 FE GE'!$C$3+Z95*'PAG20 FE GE'!$C$4</f>
        <v>2535.0307995600001</v>
      </c>
      <c r="X95" s="9">
        <f t="shared" si="36"/>
        <v>2488.8805200000002</v>
      </c>
      <c r="Y95" s="9">
        <f t="shared" si="37"/>
        <v>1.4705880000000001E-2</v>
      </c>
      <c r="Z95" s="9">
        <f t="shared" si="38"/>
        <v>0.15602579999999999</v>
      </c>
      <c r="AA95" s="9">
        <f>AG95*'PAG100 FE GE'!$E$2+AH95*'PAG100 FE GE'!$E$3+AI95*'PAG100 FE GE'!$E$4</f>
        <v>834.40846009999996</v>
      </c>
      <c r="AB95" s="9">
        <f>AG95*'PAG20 FE GE'!$E$2+AH95*'PAG20 FE GE'!$E$3+AI95*'PAG20 FE GE'!$E$4</f>
        <v>834.66531279999992</v>
      </c>
      <c r="AC95" s="9">
        <f>AG95*'PAG100 FE GE'!$D$2+AH95*'PAG100 FE GE'!$D$3+AI95*'PAG100 FE GE'!$D$4</f>
        <v>833.99798200000009</v>
      </c>
      <c r="AD95" s="9">
        <f>AG95*'PAG20 FE GE'!$D$2+AH95*'PAG20 FE GE'!$D$3+AI95*'PAG20 FE GE'!$D$4</f>
        <v>834.22129500000005</v>
      </c>
      <c r="AE95" s="9">
        <f>AG95*'PAG100 FE GE'!$C$2+AH95*'PAG100 FE GE'!$C$3+AI95*'PAG100 FE GE'!$C$4</f>
        <v>835.67873500000007</v>
      </c>
      <c r="AF95" s="9">
        <f>AG95*'PAG20 FE GE'!$C$2+AH95*'PAG20 FE GE'!$C$3+AI95*'PAG20 FE GE'!$C$4</f>
        <v>835.4428979999999</v>
      </c>
      <c r="AG95" s="9">
        <v>820.25</v>
      </c>
      <c r="AH95" s="9">
        <f>4.819/1000</f>
        <v>4.8190000000000004E-3</v>
      </c>
      <c r="AI95" s="9">
        <f>51.37/1000</f>
        <v>5.1369999999999999E-2</v>
      </c>
      <c r="AJ95" s="13">
        <f t="shared" si="39"/>
        <v>32.956584030799519</v>
      </c>
      <c r="AK95" t="s">
        <v>424</v>
      </c>
      <c r="AL95" t="s">
        <v>790</v>
      </c>
    </row>
    <row r="96" spans="1:38" ht="15.75" thickBot="1" x14ac:dyDescent="0.3">
      <c r="A96" s="4" t="s">
        <v>46</v>
      </c>
      <c r="B96" s="7" t="s">
        <v>80</v>
      </c>
      <c r="C96" s="5" t="s">
        <v>3</v>
      </c>
      <c r="D96" s="6" t="s">
        <v>6</v>
      </c>
      <c r="E96" s="6" t="str">
        <f t="shared" si="35"/>
        <v>Pesado de Mercadorias N3: &gt;28 t : Gasóleo : E6</v>
      </c>
      <c r="F96" s="6" t="s">
        <v>55</v>
      </c>
      <c r="G96" s="6" t="s">
        <v>96</v>
      </c>
      <c r="H96" s="9">
        <f>IF(G96="MJ",INDEX(Tabela1[Energia (MJ/Qtd.)],MATCH(C96,Tabela1[Fuel],0)),IF(G96="GJ",INDEX(Tabela1[Energia (GJ/Qtd.)2],MATCH(C96,Tabela1[Fuel],0)),"XXX"))</f>
        <v>3.5868000000000004E-2</v>
      </c>
      <c r="I96" s="9">
        <f>O96*'PAG100 FE GE'!$E$2+P96*'PAG100 FE GE'!$E$3+Q96*'PAG100 FE GE'!$E$4</f>
        <v>70500.798999999999</v>
      </c>
      <c r="J96" s="9">
        <f>O96*'PAG20 FE GE'!$E$2+P96*'PAG20 FE GE'!$E$3+Q96*'PAG20 FE GE'!$E$4</f>
        <v>70522.652000000002</v>
      </c>
      <c r="K96" s="9">
        <f>O96*'PAG100 FE GE'!$D$2+P96*'PAG100 FE GE'!$D$3+Q96*'PAG100 FE GE'!$D$4</f>
        <v>70466.28</v>
      </c>
      <c r="L96" s="9">
        <f>O96*'PAG20 FE GE'!$D$2+P96*'PAG20 FE GE'!$D$3+Q96*'PAG20 FE GE'!$D$4</f>
        <v>70485.33</v>
      </c>
      <c r="M96" s="9">
        <f>O96*'PAG100 FE GE'!$C$2+P96*'PAG100 FE GE'!$C$3+Q96*'PAG100 FE GE'!$C$4</f>
        <v>70607.61</v>
      </c>
      <c r="N96" s="9">
        <f>O96*'PAG20 FE GE'!$C$2+P96*'PAG20 FE GE'!$C$3+Q96*'PAG20 FE GE'!$C$4</f>
        <v>70588</v>
      </c>
      <c r="O96" s="9">
        <f>69.31*1000</f>
        <v>69310</v>
      </c>
      <c r="P96" s="9">
        <f>0.00041*1000</f>
        <v>0.41</v>
      </c>
      <c r="Q96" s="9">
        <f>0.00432*1000</f>
        <v>4.32</v>
      </c>
      <c r="R96" s="9">
        <f>X96*'PAG100 FE GE'!$E$2+Y96*'PAG100 FE GE'!$E$3+Z96*'PAG100 FE GE'!$E$4</f>
        <v>2528.7226585320004</v>
      </c>
      <c r="S96" s="9">
        <f>X96*'PAG20 FE GE'!$E$2+Y96*'PAG20 FE GE'!$E$3+Z96*'PAG20 FE GE'!$E$4</f>
        <v>2529.5064819360005</v>
      </c>
      <c r="T96" s="9">
        <f>X96*'PAG100 FE GE'!$D$2+Y96*'PAG100 FE GE'!$D$3+Z96*'PAG100 FE GE'!$D$4</f>
        <v>2527.4845310400001</v>
      </c>
      <c r="U96" s="9">
        <f>X96*'PAG20 FE GE'!$D$2+Y96*'PAG20 FE GE'!$D$3+Z96*'PAG20 FE GE'!$D$4</f>
        <v>2528.16781644</v>
      </c>
      <c r="V96" s="9">
        <f>X96*'PAG100 FE GE'!$C$2+Y96*'PAG100 FE GE'!$C$3+Z96*'PAG100 FE GE'!$C$4</f>
        <v>2532.5537554800003</v>
      </c>
      <c r="W96" s="9">
        <f>X96*'PAG20 FE GE'!$C$2+Y96*'PAG20 FE GE'!$C$3+Z96*'PAG20 FE GE'!$C$4</f>
        <v>2531.8503840000003</v>
      </c>
      <c r="X96" s="9">
        <f t="shared" si="36"/>
        <v>2486.0110800000002</v>
      </c>
      <c r="Y96" s="9">
        <f t="shared" si="37"/>
        <v>1.4705880000000001E-2</v>
      </c>
      <c r="Z96" s="9">
        <f t="shared" si="38"/>
        <v>0.15494976000000002</v>
      </c>
      <c r="AA96" s="9">
        <f>AG96*'PAG100 FE GE'!$E$2+AH96*'PAG100 FE GE'!$E$3+AI96*'PAG100 FE GE'!$E$4</f>
        <v>838.28665009999997</v>
      </c>
      <c r="AB96" s="9">
        <f>AG96*'PAG20 FE GE'!$E$2+AH96*'PAG20 FE GE'!$E$3+AI96*'PAG20 FE GE'!$E$4</f>
        <v>838.54350279999994</v>
      </c>
      <c r="AC96" s="9">
        <f>AG96*'PAG100 FE GE'!$D$2+AH96*'PAG100 FE GE'!$D$3+AI96*'PAG100 FE GE'!$D$4</f>
        <v>837.87593200000003</v>
      </c>
      <c r="AD96" s="9">
        <f>AG96*'PAG20 FE GE'!$D$2+AH96*'PAG20 FE GE'!$D$3+AI96*'PAG20 FE GE'!$D$4</f>
        <v>838.09921500000007</v>
      </c>
      <c r="AE96" s="9">
        <f>AG96*'PAG100 FE GE'!$C$2+AH96*'PAG100 FE GE'!$C$3+AI96*'PAG100 FE GE'!$C$4</f>
        <v>839.55767500000002</v>
      </c>
      <c r="AF96" s="9">
        <f>AG96*'PAG20 FE GE'!$C$2+AH96*'PAG20 FE GE'!$C$3+AI96*'PAG20 FE GE'!$C$4</f>
        <v>839.32156799999996</v>
      </c>
      <c r="AG96" s="9">
        <v>824.12</v>
      </c>
      <c r="AH96" s="9">
        <f>4.819/1000</f>
        <v>4.8190000000000004E-3</v>
      </c>
      <c r="AI96" s="9">
        <f>51.4/1000</f>
        <v>5.1400000000000001E-2</v>
      </c>
      <c r="AJ96" s="13">
        <f t="shared" si="39"/>
        <v>33.15029472837265</v>
      </c>
      <c r="AK96" t="s">
        <v>424</v>
      </c>
      <c r="AL96" t="s">
        <v>790</v>
      </c>
    </row>
    <row r="97" spans="1:38" ht="15.75" thickBot="1" x14ac:dyDescent="0.3">
      <c r="A97" s="4" t="s">
        <v>46</v>
      </c>
      <c r="B97" s="7" t="s">
        <v>80</v>
      </c>
      <c r="C97" s="5" t="s">
        <v>3</v>
      </c>
      <c r="D97" s="6" t="s">
        <v>81</v>
      </c>
      <c r="E97" s="6" t="str">
        <f t="shared" si="35"/>
        <v>Pesado de Mercadorias N3: &gt;28 t : Gasóleo : E6 D/E E7</v>
      </c>
      <c r="F97" s="6" t="s">
        <v>55</v>
      </c>
      <c r="G97" s="6" t="s">
        <v>96</v>
      </c>
      <c r="H97" s="9">
        <f>IF(G97="MJ",INDEX(Tabela1[Energia (MJ/Qtd.)],MATCH(C97,Tabela1[Fuel],0)),IF(G97="GJ",INDEX(Tabela1[Energia (GJ/Qtd.)2],MATCH(C97,Tabela1[Fuel],0)),"XXX"))</f>
        <v>3.5868000000000004E-2</v>
      </c>
      <c r="I97" s="9">
        <f>O97*'PAG100 FE GE'!$E$2+P97*'PAG100 FE GE'!$E$3+Q97*'PAG100 FE GE'!$E$4</f>
        <v>70500.798999999999</v>
      </c>
      <c r="J97" s="9">
        <f>O97*'PAG20 FE GE'!$E$2+P97*'PAG20 FE GE'!$E$3+Q97*'PAG20 FE GE'!$E$4</f>
        <v>70522.652000000002</v>
      </c>
      <c r="K97" s="9">
        <f>O97*'PAG100 FE GE'!$D$2+P97*'PAG100 FE GE'!$D$3+Q97*'PAG100 FE GE'!$D$4</f>
        <v>70466.28</v>
      </c>
      <c r="L97" s="9">
        <f>O97*'PAG20 FE GE'!$D$2+P97*'PAG20 FE GE'!$D$3+Q97*'PAG20 FE GE'!$D$4</f>
        <v>70485.33</v>
      </c>
      <c r="M97" s="9">
        <f>O97*'PAG100 FE GE'!$C$2+P97*'PAG100 FE GE'!$C$3+Q97*'PAG100 FE GE'!$C$4</f>
        <v>70607.61</v>
      </c>
      <c r="N97" s="9">
        <f>O97*'PAG20 FE GE'!$C$2+P97*'PAG20 FE GE'!$C$3+Q97*'PAG20 FE GE'!$C$4</f>
        <v>70588</v>
      </c>
      <c r="O97" s="9">
        <f>69.31*1000</f>
        <v>69310</v>
      </c>
      <c r="P97" s="9">
        <f>0.00041*1000</f>
        <v>0.41</v>
      </c>
      <c r="Q97" s="9">
        <f>0.00432*1000</f>
        <v>4.32</v>
      </c>
      <c r="R97" s="9">
        <f>X97*'PAG100 FE GE'!$E$2+Y97*'PAG100 FE GE'!$E$3+Z97*'PAG100 FE GE'!$E$4</f>
        <v>2528.7226585320004</v>
      </c>
      <c r="S97" s="9">
        <f>X97*'PAG20 FE GE'!$E$2+Y97*'PAG20 FE GE'!$E$3+Z97*'PAG20 FE GE'!$E$4</f>
        <v>2529.5064819360005</v>
      </c>
      <c r="T97" s="9">
        <f>X97*'PAG100 FE GE'!$D$2+Y97*'PAG100 FE GE'!$D$3+Z97*'PAG100 FE GE'!$D$4</f>
        <v>2527.4845310400001</v>
      </c>
      <c r="U97" s="9">
        <f>X97*'PAG20 FE GE'!$D$2+Y97*'PAG20 FE GE'!$D$3+Z97*'PAG20 FE GE'!$D$4</f>
        <v>2528.16781644</v>
      </c>
      <c r="V97" s="9">
        <f>X97*'PAG100 FE GE'!$C$2+Y97*'PAG100 FE GE'!$C$3+Z97*'PAG100 FE GE'!$C$4</f>
        <v>2532.5537554800003</v>
      </c>
      <c r="W97" s="9">
        <f>X97*'PAG20 FE GE'!$C$2+Y97*'PAG20 FE GE'!$C$3+Z97*'PAG20 FE GE'!$C$4</f>
        <v>2531.8503840000003</v>
      </c>
      <c r="X97" s="9">
        <f t="shared" si="36"/>
        <v>2486.0110800000002</v>
      </c>
      <c r="Y97" s="9">
        <f t="shared" si="37"/>
        <v>1.4705880000000001E-2</v>
      </c>
      <c r="Z97" s="9">
        <f t="shared" si="38"/>
        <v>0.15494976000000002</v>
      </c>
      <c r="AA97" s="9">
        <f>AG97*'PAG100 FE GE'!$E$2+AH97*'PAG100 FE GE'!$E$3+AI97*'PAG100 FE GE'!$E$4</f>
        <v>838.37665010000001</v>
      </c>
      <c r="AB97" s="9">
        <f>AG97*'PAG20 FE GE'!$E$2+AH97*'PAG20 FE GE'!$E$3+AI97*'PAG20 FE GE'!$E$4</f>
        <v>838.63350279999997</v>
      </c>
      <c r="AC97" s="9">
        <f>AG97*'PAG100 FE GE'!$D$2+AH97*'PAG100 FE GE'!$D$3+AI97*'PAG100 FE GE'!$D$4</f>
        <v>837.96593200000007</v>
      </c>
      <c r="AD97" s="9">
        <f>AG97*'PAG20 FE GE'!$D$2+AH97*'PAG20 FE GE'!$D$3+AI97*'PAG20 FE GE'!$D$4</f>
        <v>838.1892150000001</v>
      </c>
      <c r="AE97" s="9">
        <f>AG97*'PAG100 FE GE'!$C$2+AH97*'PAG100 FE GE'!$C$3+AI97*'PAG100 FE GE'!$C$4</f>
        <v>839.64767500000005</v>
      </c>
      <c r="AF97" s="9">
        <f>AG97*'PAG20 FE GE'!$C$2+AH97*'PAG20 FE GE'!$C$3+AI97*'PAG20 FE GE'!$C$4</f>
        <v>839.41156799999999</v>
      </c>
      <c r="AG97" s="9">
        <v>824.21</v>
      </c>
      <c r="AH97" s="9">
        <f>4.819/1000</f>
        <v>4.8190000000000004E-3</v>
      </c>
      <c r="AI97" s="9">
        <f>51.4/1000</f>
        <v>5.1400000000000001E-2</v>
      </c>
      <c r="AJ97" s="13">
        <f t="shared" si="39"/>
        <v>33.153914985769092</v>
      </c>
      <c r="AK97" t="s">
        <v>424</v>
      </c>
      <c r="AL97" t="s">
        <v>790</v>
      </c>
    </row>
    <row r="98" spans="1:38" ht="15.75" thickBot="1" x14ac:dyDescent="0.3">
      <c r="A98" s="4" t="s">
        <v>41</v>
      </c>
      <c r="B98" s="7" t="s">
        <v>16</v>
      </c>
      <c r="C98" s="5" t="s">
        <v>3</v>
      </c>
      <c r="D98" s="6" t="s">
        <v>16</v>
      </c>
      <c r="E98" s="6" t="str">
        <f t="shared" si="35"/>
        <v>Ligeiro de Passageiros M1: Geral : Gasóleo : Geral</v>
      </c>
      <c r="F98" s="6" t="s">
        <v>55</v>
      </c>
      <c r="G98" s="6" t="s">
        <v>96</v>
      </c>
      <c r="H98" s="9">
        <f>IF(G98="MJ",INDEX(Tabela1[Energia (MJ/Qtd.)],MATCH(C98,Tabela1[Fuel],0)),IF(G98="GJ",INDEX(Tabela1[Energia (GJ/Qtd.)2],MATCH(C98,Tabela1[Fuel],0)),"XXX"))</f>
        <v>3.5868000000000004E-2</v>
      </c>
      <c r="I98" s="9">
        <f>O98*'PAG100 FE GE'!$E$2+P98*'PAG100 FE GE'!$E$3+Q98*'PAG100 FE GE'!$E$4</f>
        <v>69971.918999999994</v>
      </c>
      <c r="J98" s="9">
        <f>O98*'PAG20 FE GE'!$E$2+P98*'PAG20 FE GE'!$E$3+Q98*'PAG20 FE GE'!$E$4</f>
        <v>69972.452000000005</v>
      </c>
      <c r="K98" s="9">
        <f>O98*'PAG100 FE GE'!$D$2+P98*'PAG100 FE GE'!$D$3+Q98*'PAG100 FE GE'!$D$4</f>
        <v>69950.48</v>
      </c>
      <c r="L98" s="9">
        <f>O98*'PAG20 FE GE'!$D$2+P98*'PAG20 FE GE'!$D$3+Q98*'PAG20 FE GE'!$D$4</f>
        <v>69948.37000000001</v>
      </c>
      <c r="M98" s="9">
        <f>O98*'PAG100 FE GE'!$C$2+P98*'PAG100 FE GE'!$C$3+Q98*'PAG100 FE GE'!$C$4</f>
        <v>70038.89</v>
      </c>
      <c r="N98" s="9">
        <f>O98*'PAG20 FE GE'!$C$2+P98*'PAG20 FE GE'!$C$3+Q98*'PAG20 FE GE'!$C$4</f>
        <v>70015.240000000005</v>
      </c>
      <c r="O98" s="16">
        <f>69.24*1000</f>
        <v>69240</v>
      </c>
      <c r="P98" s="16">
        <f>0.00001*1000</f>
        <v>0.01</v>
      </c>
      <c r="Q98" s="16">
        <f>0.00268*1000</f>
        <v>2.68</v>
      </c>
      <c r="R98" s="9">
        <f>X98*'PAG100 FE GE'!$E$2+Y98*'PAG100 FE GE'!$E$3+Z98*'PAG100 FE GE'!$E$4</f>
        <v>2509.752790692</v>
      </c>
      <c r="S98" s="9">
        <f>X98*'PAG20 FE GE'!$E$2+Y98*'PAG20 FE GE'!$E$3+Z98*'PAG20 FE GE'!$E$4</f>
        <v>2509.7719083360003</v>
      </c>
      <c r="T98" s="9">
        <f>X98*'PAG100 FE GE'!$D$2+Y98*'PAG100 FE GE'!$D$3+Z98*'PAG100 FE GE'!$D$4</f>
        <v>2508.98381664</v>
      </c>
      <c r="U98" s="9">
        <f>X98*'PAG20 FE GE'!$D$2+Y98*'PAG20 FE GE'!$D$3+Z98*'PAG20 FE GE'!$D$4</f>
        <v>2508.9081351600003</v>
      </c>
      <c r="V98" s="9">
        <f>X98*'PAG100 FE GE'!$C$2+Y98*'PAG100 FE GE'!$C$3+Z98*'PAG100 FE GE'!$C$4</f>
        <v>2512.1549065200002</v>
      </c>
      <c r="W98" s="9">
        <f>X98*'PAG20 FE GE'!$C$2+Y98*'PAG20 FE GE'!$C$3+Z98*'PAG20 FE GE'!$C$4</f>
        <v>2511.3066283200001</v>
      </c>
      <c r="X98" s="9">
        <f t="shared" si="36"/>
        <v>2483.5003200000001</v>
      </c>
      <c r="Y98" s="9">
        <f t="shared" si="37"/>
        <v>3.5868000000000006E-4</v>
      </c>
      <c r="Z98" s="9">
        <f t="shared" si="38"/>
        <v>9.6126240000000016E-2</v>
      </c>
      <c r="AA98" s="9">
        <f>AG98*'PAG100 FE GE'!$E$2+AH98*'PAG100 FE GE'!$E$3+AI98*'PAG100 FE GE'!$E$4</f>
        <v>194.44515100000001</v>
      </c>
      <c r="AB98" s="9">
        <f>AG98*'PAG20 FE GE'!$E$2+AH98*'PAG20 FE GE'!$E$3+AI98*'PAG20 FE GE'!$E$4</f>
        <v>194.50857800000003</v>
      </c>
      <c r="AC98" s="9">
        <f>AG98*'PAG100 FE GE'!$D$2+AH98*'PAG100 FE GE'!$D$3+AI98*'PAG100 FE GE'!$D$4</f>
        <v>194.38807</v>
      </c>
      <c r="AD98" s="9">
        <f>AG98*'PAG20 FE GE'!$D$2+AH98*'PAG20 FE GE'!$D$3+AI98*'PAG20 FE GE'!$D$4</f>
        <v>194.44874999999999</v>
      </c>
      <c r="AE98" s="9">
        <f>AG98*'PAG100 FE GE'!$C$2+AH98*'PAG100 FE GE'!$C$3+AI98*'PAG100 FE GE'!$C$4</f>
        <v>194.62045000000001</v>
      </c>
      <c r="AF98" s="9">
        <f>AG98*'PAG20 FE GE'!$C$2+AH98*'PAG20 FE GE'!$C$3+AI98*'PAG20 FE GE'!$C$4</f>
        <v>194.61203</v>
      </c>
      <c r="AG98" s="9">
        <v>192.46</v>
      </c>
      <c r="AH98" s="9">
        <f>1.19/1000</f>
        <v>1.1899999999999999E-3</v>
      </c>
      <c r="AI98" s="9">
        <f>7.15/1000</f>
        <v>7.1500000000000001E-3</v>
      </c>
      <c r="AJ98" s="13">
        <f>AG98/X98*100</f>
        <v>7.7495460117355659</v>
      </c>
      <c r="AK98" t="s">
        <v>424</v>
      </c>
      <c r="AL98" t="s">
        <v>790</v>
      </c>
    </row>
    <row r="99" spans="1:38" ht="15.75" thickBot="1" x14ac:dyDescent="0.3">
      <c r="A99" s="4" t="s">
        <v>41</v>
      </c>
      <c r="B99" s="7" t="s">
        <v>16</v>
      </c>
      <c r="C99" s="5" t="s">
        <v>3</v>
      </c>
      <c r="D99" s="6" t="s">
        <v>5</v>
      </c>
      <c r="E99" s="6" t="str">
        <f t="shared" ref="E99:E101" si="40">A99&amp;": "&amp;B99&amp;" : "&amp;C99&amp;" : "&amp;D99</f>
        <v>Ligeiro de Passageiros M1: Geral : Gasóleo : E5</v>
      </c>
      <c r="F99" s="6" t="s">
        <v>55</v>
      </c>
      <c r="G99" s="6" t="s">
        <v>96</v>
      </c>
      <c r="H99" s="9">
        <f>IF(G99="MJ",INDEX(Tabela1[Energia (MJ/Qtd.)],MATCH(C99,Tabela1[Fuel],0)),IF(G99="GJ",INDEX(Tabela1[Energia (GJ/Qtd.)2],MATCH(C99,Tabela1[Fuel],0)),"XXX"))</f>
        <v>3.5868000000000004E-2</v>
      </c>
      <c r="I99" s="9"/>
      <c r="J99" s="9"/>
      <c r="K99" s="9"/>
      <c r="L99" s="9"/>
      <c r="M99" s="9"/>
      <c r="N99" s="9"/>
      <c r="O99" s="16"/>
      <c r="P99" s="16"/>
      <c r="Q99" s="16"/>
      <c r="R99" s="9"/>
      <c r="S99" s="9"/>
      <c r="T99" s="9"/>
      <c r="U99" s="9"/>
      <c r="V99" s="9"/>
      <c r="W99" s="9"/>
      <c r="X99" s="9"/>
      <c r="Y99" s="9"/>
      <c r="Z99" s="9"/>
      <c r="AA99" s="9"/>
      <c r="AB99" s="9"/>
      <c r="AC99" s="9"/>
      <c r="AD99" s="9"/>
      <c r="AE99" s="9"/>
      <c r="AF99" s="9"/>
      <c r="AG99" s="9"/>
      <c r="AH99" s="9"/>
      <c r="AI99" s="9"/>
    </row>
    <row r="100" spans="1:38" ht="15.75" thickBot="1" x14ac:dyDescent="0.3">
      <c r="A100" s="4" t="s">
        <v>41</v>
      </c>
      <c r="B100" s="7" t="s">
        <v>16</v>
      </c>
      <c r="C100" s="5" t="s">
        <v>3</v>
      </c>
      <c r="D100" s="6" t="s">
        <v>6</v>
      </c>
      <c r="E100" s="6" t="str">
        <f t="shared" si="40"/>
        <v>Ligeiro de Passageiros M1: Geral : Gasóleo : E6</v>
      </c>
      <c r="F100" s="6" t="s">
        <v>55</v>
      </c>
      <c r="G100" s="6" t="s">
        <v>96</v>
      </c>
      <c r="H100" s="9">
        <f>IF(G100="MJ",INDEX(Tabela1[Energia (MJ/Qtd.)],MATCH(C100,Tabela1[Fuel],0)),IF(G100="GJ",INDEX(Tabela1[Energia (GJ/Qtd.)2],MATCH(C100,Tabela1[Fuel],0)),"XXX"))</f>
        <v>3.5868000000000004E-2</v>
      </c>
      <c r="I100" s="9"/>
      <c r="J100" s="9"/>
      <c r="K100" s="9"/>
      <c r="L100" s="9"/>
      <c r="M100" s="9"/>
      <c r="N100" s="9"/>
      <c r="O100" s="16"/>
      <c r="P100" s="16"/>
      <c r="Q100" s="16"/>
      <c r="R100" s="9"/>
      <c r="S100" s="9"/>
      <c r="T100" s="9"/>
      <c r="U100" s="9"/>
      <c r="V100" s="9"/>
      <c r="W100" s="9"/>
      <c r="X100" s="9"/>
      <c r="Y100" s="9"/>
      <c r="Z100" s="9"/>
      <c r="AA100" s="9"/>
      <c r="AB100" s="9"/>
      <c r="AC100" s="9"/>
      <c r="AD100" s="9"/>
      <c r="AE100" s="9"/>
      <c r="AF100" s="9"/>
      <c r="AG100" s="9"/>
      <c r="AH100" s="9"/>
      <c r="AI100" s="9"/>
    </row>
    <row r="101" spans="1:38" ht="15.75" thickBot="1" x14ac:dyDescent="0.3">
      <c r="A101" s="4" t="s">
        <v>41</v>
      </c>
      <c r="B101" s="7" t="s">
        <v>16</v>
      </c>
      <c r="C101" s="5" t="s">
        <v>3</v>
      </c>
      <c r="D101" s="6" t="s">
        <v>81</v>
      </c>
      <c r="E101" s="6" t="str">
        <f t="shared" si="40"/>
        <v>Ligeiro de Passageiros M1: Geral : Gasóleo : E6 D/E E7</v>
      </c>
      <c r="F101" s="6" t="s">
        <v>55</v>
      </c>
      <c r="G101" s="6" t="s">
        <v>96</v>
      </c>
      <c r="H101" s="9">
        <f>IF(G101="MJ",INDEX(Tabela1[Energia (MJ/Qtd.)],MATCH(C101,Tabela1[Fuel],0)),IF(G101="GJ",INDEX(Tabela1[Energia (GJ/Qtd.)2],MATCH(C101,Tabela1[Fuel],0)),"XXX"))</f>
        <v>3.5868000000000004E-2</v>
      </c>
      <c r="I101" s="9"/>
      <c r="J101" s="9"/>
      <c r="K101" s="9"/>
      <c r="L101" s="9"/>
      <c r="M101" s="9"/>
      <c r="N101" s="9"/>
      <c r="O101" s="16"/>
      <c r="P101" s="16"/>
      <c r="Q101" s="16"/>
      <c r="R101" s="9"/>
      <c r="S101" s="9"/>
      <c r="T101" s="9"/>
      <c r="U101" s="9"/>
      <c r="V101" s="9"/>
      <c r="W101" s="9"/>
      <c r="X101" s="9"/>
      <c r="Y101" s="9"/>
      <c r="Z101" s="9"/>
      <c r="AA101" s="9"/>
      <c r="AB101" s="9"/>
      <c r="AC101" s="9"/>
      <c r="AD101" s="9"/>
      <c r="AE101" s="9"/>
      <c r="AF101" s="9"/>
      <c r="AG101" s="9"/>
      <c r="AH101" s="9"/>
      <c r="AI101" s="9"/>
    </row>
    <row r="102" spans="1:38" ht="15.75" thickBot="1" x14ac:dyDescent="0.3">
      <c r="A102" s="4" t="s">
        <v>41</v>
      </c>
      <c r="B102" s="7" t="s">
        <v>16</v>
      </c>
      <c r="C102" s="5" t="s">
        <v>42</v>
      </c>
      <c r="D102" s="6" t="s">
        <v>16</v>
      </c>
      <c r="E102" s="6" t="str">
        <f t="shared" si="35"/>
        <v>Ligeiro de Passageiros M1: Geral : Gasolina : Geral</v>
      </c>
      <c r="F102" s="6" t="s">
        <v>55</v>
      </c>
      <c r="G102" s="6" t="s">
        <v>96</v>
      </c>
      <c r="H102" s="9">
        <f>IF(G102="MJ",INDEX(Tabela1[Energia (MJ/Qtd.)],MATCH(C102,Tabela1[Fuel],0)),IF(G102="GJ",INDEX(Tabela1[Energia (GJ/Qtd.)2],MATCH(C102,Tabela1[Fuel],0)),"XXX"))</f>
        <v>3.2827500000000003E-2</v>
      </c>
      <c r="I102" s="9">
        <f>O102*'PAG100 FE GE'!$E$2+P102*'PAG100 FE GE'!$E$3+Q102*'PAG100 FE GE'!$E$4</f>
        <v>72549.875</v>
      </c>
      <c r="J102" s="9">
        <f>O102*'PAG20 FE GE'!$E$2+P102*'PAG20 FE GE'!$E$3+Q102*'PAG20 FE GE'!$E$4</f>
        <v>72883</v>
      </c>
      <c r="K102" s="9">
        <f>O102*'PAG100 FE GE'!$D$2+P102*'PAG100 FE GE'!$D$3+Q102*'PAG100 FE GE'!$D$4</f>
        <v>72522.5</v>
      </c>
      <c r="L102" s="9">
        <f>O102*'PAG20 FE GE'!$D$2+P102*'PAG20 FE GE'!$D$3+Q102*'PAG20 FE GE'!$D$4</f>
        <v>72875.25</v>
      </c>
      <c r="M102" s="9">
        <f>O102*'PAG100 FE GE'!$C$2+P102*'PAG100 FE GE'!$C$3+Q102*'PAG100 FE GE'!$C$4</f>
        <v>72619.25</v>
      </c>
      <c r="N102" s="9">
        <f>O102*'PAG20 FE GE'!$C$2+P102*'PAG20 FE GE'!$C$3+Q102*'PAG20 FE GE'!$C$4</f>
        <v>72881.5</v>
      </c>
      <c r="O102" s="16">
        <f>71.42*1000</f>
        <v>71420</v>
      </c>
      <c r="P102" s="16">
        <f>0.00625*1000</f>
        <v>6.25</v>
      </c>
      <c r="Q102" s="16">
        <f>0.0035*1000</f>
        <v>3.5</v>
      </c>
      <c r="R102" s="9">
        <f>X102*'PAG100 FE GE'!$E$2+Y102*'PAG100 FE GE'!$E$3+Z102*'PAG100 FE GE'!$E$4</f>
        <v>2381.6310215625003</v>
      </c>
      <c r="S102" s="9">
        <f>X102*'PAG20 FE GE'!$E$2+Y102*'PAG20 FE GE'!$E$3+Z102*'PAG20 FE GE'!$E$4</f>
        <v>2392.5666825000003</v>
      </c>
      <c r="T102" s="9">
        <f>X102*'PAG100 FE GE'!$D$2+Y102*'PAG100 FE GE'!$D$3+Z102*'PAG100 FE GE'!$D$4</f>
        <v>2380.7323687500002</v>
      </c>
      <c r="U102" s="9">
        <f>X102*'PAG20 FE GE'!$D$2+Y102*'PAG20 FE GE'!$D$3+Z102*'PAG20 FE GE'!$D$4</f>
        <v>2392.3122693750001</v>
      </c>
      <c r="V102" s="9">
        <f>X102*'PAG100 FE GE'!$C$2+Y102*'PAG100 FE GE'!$C$3+Z102*'PAG100 FE GE'!$C$4</f>
        <v>2383.9084293750002</v>
      </c>
      <c r="W102" s="9">
        <f>X102*'PAG20 FE GE'!$C$2+Y102*'PAG20 FE GE'!$C$3+Z102*'PAG20 FE GE'!$C$4</f>
        <v>2392.51744125</v>
      </c>
      <c r="X102" s="9">
        <f t="shared" si="36"/>
        <v>2344.5400500000001</v>
      </c>
      <c r="Y102" s="9">
        <f t="shared" si="37"/>
        <v>0.205171875</v>
      </c>
      <c r="Z102" s="9">
        <f t="shared" si="38"/>
        <v>0.11489625000000001</v>
      </c>
      <c r="AA102" s="9">
        <f>AG102*'PAG100 FE GE'!$E$2+AH102*'PAG100 FE GE'!$E$3+AI102*'PAG100 FE GE'!$E$4</f>
        <v>203.91628500000002</v>
      </c>
      <c r="AB102" s="9">
        <f>AG102*'PAG20 FE GE'!$E$2+AH102*'PAG20 FE GE'!$E$3+AI102*'PAG20 FE GE'!$E$4</f>
        <v>205.40602000000001</v>
      </c>
      <c r="AC102" s="9">
        <f>AG102*'PAG100 FE GE'!$D$2+AH102*'PAG100 FE GE'!$D$3+AI102*'PAG100 FE GE'!$D$4</f>
        <v>203.88900000000001</v>
      </c>
      <c r="AD102" s="9">
        <f>AG102*'PAG20 FE GE'!$D$2+AH102*'PAG20 FE GE'!$D$3+AI102*'PAG20 FE GE'!$D$4</f>
        <v>205.47839000000002</v>
      </c>
      <c r="AE102" s="9">
        <f>AG102*'PAG100 FE GE'!$C$2+AH102*'PAG100 FE GE'!$C$3+AI102*'PAG100 FE GE'!$C$4</f>
        <v>203.92922999999999</v>
      </c>
      <c r="AF102" s="9">
        <f>AG102*'PAG20 FE GE'!$C$2+AH102*'PAG20 FE GE'!$C$3+AI102*'PAG20 FE GE'!$C$4</f>
        <v>205.20904000000002</v>
      </c>
      <c r="AG102" s="9">
        <v>202.11</v>
      </c>
      <c r="AH102" s="9">
        <f>27.95/1000</f>
        <v>2.7949999999999999E-2</v>
      </c>
      <c r="AI102" s="9">
        <f>3.76/1000</f>
        <v>3.7599999999999999E-3</v>
      </c>
      <c r="AJ102" s="13">
        <f t="shared" ref="AJ102:AJ106" si="41">AG102/X102*100</f>
        <v>8.6204541483520405</v>
      </c>
      <c r="AK102" t="s">
        <v>424</v>
      </c>
      <c r="AL102" t="s">
        <v>790</v>
      </c>
    </row>
    <row r="103" spans="1:38" ht="15.75" thickBot="1" x14ac:dyDescent="0.3">
      <c r="A103" s="4" t="s">
        <v>41</v>
      </c>
      <c r="B103" s="7" t="s">
        <v>16</v>
      </c>
      <c r="C103" s="5" t="s">
        <v>43</v>
      </c>
      <c r="D103" s="6" t="s">
        <v>16</v>
      </c>
      <c r="E103" s="6" t="str">
        <f t="shared" si="35"/>
        <v>Ligeiro de Passageiros M1: Geral : Híbrido Gasolina : Geral</v>
      </c>
      <c r="F103" s="6" t="s">
        <v>55</v>
      </c>
      <c r="G103" s="6" t="s">
        <v>96</v>
      </c>
      <c r="H103" s="9">
        <f>IF(G103="MJ",INDEX(Tabela1[Energia (MJ/Qtd.)],MATCH(C103,Tabela1[Fuel],0)),IF(G103="GJ",INDEX(Tabela1[Energia (GJ/Qtd.)2],MATCH(C103,Tabela1[Fuel],0)),"XXX"))</f>
        <v>3.2827500000000003E-2</v>
      </c>
      <c r="I103" s="9">
        <f>O103*'PAG100 FE GE'!$E$2+P103*'PAG100 FE GE'!$E$3+Q103*'PAG100 FE GE'!$E$4</f>
        <v>72012.618000000002</v>
      </c>
      <c r="J103" s="9">
        <f>O103*'PAG20 FE GE'!$E$2+P103*'PAG20 FE GE'!$E$3+Q103*'PAG20 FE GE'!$E$4</f>
        <v>72552.01400000001</v>
      </c>
      <c r="K103" s="9">
        <f>O103*'PAG100 FE GE'!$D$2+P103*'PAG100 FE GE'!$D$3+Q103*'PAG100 FE GE'!$D$4</f>
        <v>72005.710000000006</v>
      </c>
      <c r="L103" s="9">
        <f>O103*'PAG20 FE GE'!$D$2+P103*'PAG20 FE GE'!$D$3+Q103*'PAG20 FE GE'!$D$4</f>
        <v>72581.56</v>
      </c>
      <c r="M103" s="9">
        <f>O103*'PAG100 FE GE'!$C$2+P103*'PAG100 FE GE'!$C$3+Q103*'PAG100 FE GE'!$C$4</f>
        <v>72008.02</v>
      </c>
      <c r="N103" s="9">
        <f>O103*'PAG20 FE GE'!$C$2+P103*'PAG20 FE GE'!$C$3+Q103*'PAG20 FE GE'!$C$4</f>
        <v>72474.75</v>
      </c>
      <c r="O103" s="16">
        <f>71.46*1000</f>
        <v>71460</v>
      </c>
      <c r="P103" s="16">
        <f>0.01012*1000</f>
        <v>10.120000000000001</v>
      </c>
      <c r="Q103" s="16">
        <f>0.00099*1000</f>
        <v>0.99</v>
      </c>
      <c r="R103" s="9">
        <f>X103*'PAG100 FE GE'!$E$2+Y103*'PAG100 FE GE'!$E$3+Z103*'PAG100 FE GE'!$E$4</f>
        <v>2363.9942173950003</v>
      </c>
      <c r="S103" s="9">
        <f>X103*'PAG20 FE GE'!$E$2+Y103*'PAG20 FE GE'!$E$3+Z103*'PAG20 FE GE'!$E$4</f>
        <v>2381.7012395850006</v>
      </c>
      <c r="T103" s="9">
        <f>X103*'PAG100 FE GE'!$D$2+Y103*'PAG100 FE GE'!$D$3+Z103*'PAG100 FE GE'!$D$4</f>
        <v>2363.7674450250001</v>
      </c>
      <c r="U103" s="9">
        <f>X103*'PAG20 FE GE'!$D$2+Y103*'PAG20 FE GE'!$D$3+Z103*'PAG20 FE GE'!$D$4</f>
        <v>2382.6711609000004</v>
      </c>
      <c r="V103" s="9">
        <f>X103*'PAG100 FE GE'!$C$2+Y103*'PAG100 FE GE'!$C$3+Z103*'PAG100 FE GE'!$C$4</f>
        <v>2363.8432765500002</v>
      </c>
      <c r="W103" s="9">
        <f>X103*'PAG20 FE GE'!$C$2+Y103*'PAG20 FE GE'!$C$3+Z103*'PAG20 FE GE'!$C$4</f>
        <v>2379.1648556250002</v>
      </c>
      <c r="X103" s="9">
        <f t="shared" si="36"/>
        <v>2345.8531500000004</v>
      </c>
      <c r="Y103" s="9">
        <f t="shared" si="37"/>
        <v>0.33221430000000007</v>
      </c>
      <c r="Z103" s="9">
        <f t="shared" si="38"/>
        <v>3.2499225E-2</v>
      </c>
      <c r="AA103" s="9">
        <f>AG103*'PAG100 FE GE'!$E$2+AH103*'PAG100 FE GE'!$E$3+AI103*'PAG100 FE GE'!$E$4</f>
        <v>142.001768</v>
      </c>
      <c r="AB103" s="9">
        <f>AG103*'PAG20 FE GE'!$E$2+AH103*'PAG20 FE GE'!$E$3+AI103*'PAG20 FE GE'!$E$4</f>
        <v>143.06350399999999</v>
      </c>
      <c r="AC103" s="9">
        <f>AG103*'PAG100 FE GE'!$D$2+AH103*'PAG100 FE GE'!$D$3+AI103*'PAG100 FE GE'!$D$4</f>
        <v>141.98776000000001</v>
      </c>
      <c r="AD103" s="9">
        <f>AG103*'PAG20 FE GE'!$D$2+AH103*'PAG20 FE GE'!$D$3+AI103*'PAG20 FE GE'!$D$4</f>
        <v>143.12119999999999</v>
      </c>
      <c r="AE103" s="9">
        <f>AG103*'PAG100 FE GE'!$C$2+AH103*'PAG100 FE GE'!$C$3+AI103*'PAG100 FE GE'!$C$4</f>
        <v>141.994</v>
      </c>
      <c r="AF103" s="9">
        <f>AG103*'PAG20 FE GE'!$C$2+AH103*'PAG20 FE GE'!$C$3+AI103*'PAG20 FE GE'!$C$4</f>
        <v>142.91224</v>
      </c>
      <c r="AG103" s="9">
        <v>140.9</v>
      </c>
      <c r="AH103" s="9">
        <f>19.92/1000</f>
        <v>1.992E-2</v>
      </c>
      <c r="AI103" s="9">
        <f>2/1000</f>
        <v>2E-3</v>
      </c>
      <c r="AJ103" s="13">
        <f t="shared" si="41"/>
        <v>6.0063435769626068</v>
      </c>
      <c r="AK103" t="s">
        <v>424</v>
      </c>
      <c r="AL103" t="s">
        <v>790</v>
      </c>
    </row>
    <row r="104" spans="1:38" ht="15.75" thickBot="1" x14ac:dyDescent="0.3">
      <c r="A104" s="4" t="s">
        <v>41</v>
      </c>
      <c r="B104" s="7" t="s">
        <v>16</v>
      </c>
      <c r="C104" s="5" t="s">
        <v>44</v>
      </c>
      <c r="D104" s="6" t="s">
        <v>16</v>
      </c>
      <c r="E104" s="6" t="str">
        <f t="shared" si="35"/>
        <v>Ligeiro de Passageiros M1: Geral : GPL : Geral</v>
      </c>
      <c r="F104" s="6" t="s">
        <v>57</v>
      </c>
      <c r="G104" s="6" t="s">
        <v>96</v>
      </c>
      <c r="H104" s="9">
        <f>IF(G104="MJ",INDEX(Tabela1[Energia (MJ/Qtd.)],MATCH(C104,Tabela1[Fuel],0)),IF(G104="GJ",INDEX(Tabela1[Energia (GJ/Qtd.)2],MATCH(C104,Tabela1[Fuel],0)),"XXX"))</f>
        <v>4.6560000000000004E-2</v>
      </c>
      <c r="I104" s="9">
        <f>O104*'PAG100 FE GE'!$E$2+P104*'PAG100 FE GE'!$E$3+Q104*'PAG100 FE GE'!$E$4</f>
        <v>65310.21899999999</v>
      </c>
      <c r="J104" s="9">
        <f>O104*'PAG20 FE GE'!$E$2+P104*'PAG20 FE GE'!$E$3+Q104*'PAG20 FE GE'!$E$4</f>
        <v>65769.131999999998</v>
      </c>
      <c r="K104" s="9">
        <f>O104*'PAG100 FE GE'!$D$2+P104*'PAG100 FE GE'!$D$3+Q104*'PAG100 FE GE'!$D$4</f>
        <v>65311.079999999994</v>
      </c>
      <c r="L104" s="9">
        <f>O104*'PAG20 FE GE'!$D$2+P104*'PAG20 FE GE'!$D$3+Q104*'PAG20 FE GE'!$D$4</f>
        <v>65801.849999999991</v>
      </c>
      <c r="M104" s="9">
        <f>O104*'PAG100 FE GE'!$C$2+P104*'PAG100 FE GE'!$C$3+Q104*'PAG100 FE GE'!$C$4</f>
        <v>65285.249999999993</v>
      </c>
      <c r="N104" s="9">
        <f>O104*'PAG20 FE GE'!$C$2+P104*'PAG20 FE GE'!$C$3+Q104*'PAG20 FE GE'!$C$4</f>
        <v>65689.919999999998</v>
      </c>
      <c r="O104" s="16">
        <f>65.07*1000</f>
        <v>65069.999999999993</v>
      </c>
      <c r="P104" s="16">
        <f>0.00861*1000</f>
        <v>8.61</v>
      </c>
      <c r="Q104" s="16">
        <v>0</v>
      </c>
      <c r="R104" s="9">
        <f>X104*'PAG100 FE GE'!$E$2+Y104*'PAG100 FE GE'!$E$3+Z104*'PAG100 FE GE'!$E$4</f>
        <v>3040.8437966400002</v>
      </c>
      <c r="S104" s="9">
        <f>X104*'PAG20 FE GE'!$E$2+Y104*'PAG20 FE GE'!$E$3+Z104*'PAG20 FE GE'!$E$4</f>
        <v>3062.21078592</v>
      </c>
      <c r="T104" s="9">
        <f>X104*'PAG100 FE GE'!$D$2+Y104*'PAG100 FE GE'!$D$3+Z104*'PAG100 FE GE'!$D$4</f>
        <v>3040.8838848</v>
      </c>
      <c r="U104" s="9">
        <f>X104*'PAG20 FE GE'!$D$2+Y104*'PAG20 FE GE'!$D$3+Z104*'PAG20 FE GE'!$D$4</f>
        <v>3063.734136</v>
      </c>
      <c r="V104" s="9">
        <f>X104*'PAG100 FE GE'!$C$2+Y104*'PAG100 FE GE'!$C$3+Z104*'PAG100 FE GE'!$C$4</f>
        <v>3039.6812399999999</v>
      </c>
      <c r="W104" s="9">
        <f>X104*'PAG20 FE GE'!$C$2+Y104*'PAG20 FE GE'!$C$3+Z104*'PAG20 FE GE'!$C$4</f>
        <v>3058.5226751999999</v>
      </c>
      <c r="X104" s="9">
        <f t="shared" si="36"/>
        <v>3029.6592000000001</v>
      </c>
      <c r="Y104" s="9">
        <f t="shared" si="37"/>
        <v>0.4008816</v>
      </c>
      <c r="Z104" s="9">
        <f t="shared" si="38"/>
        <v>0</v>
      </c>
      <c r="AA104" s="9">
        <f>AG104*'PAG100 FE GE'!$E$2+AH104*'PAG100 FE GE'!$E$3+AI104*'PAG100 FE GE'!$E$4</f>
        <v>192.85975999999999</v>
      </c>
      <c r="AB104" s="9">
        <f>AG104*'PAG20 FE GE'!$E$2+AH104*'PAG20 FE GE'!$E$3+AI104*'PAG20 FE GE'!$E$4</f>
        <v>194.69328000000002</v>
      </c>
      <c r="AC104" s="9">
        <f>AG104*'PAG100 FE GE'!$D$2+AH104*'PAG100 FE GE'!$D$3+AI104*'PAG100 FE GE'!$D$4</f>
        <v>192.86320000000001</v>
      </c>
      <c r="AD104" s="9">
        <f>AG104*'PAG20 FE GE'!$D$2+AH104*'PAG20 FE GE'!$D$3+AI104*'PAG20 FE GE'!$D$4</f>
        <v>194.82400000000001</v>
      </c>
      <c r="AE104" s="9">
        <f>AG104*'PAG100 FE GE'!$C$2+AH104*'PAG100 FE GE'!$C$3+AI104*'PAG100 FE GE'!$C$4</f>
        <v>192.76000000000002</v>
      </c>
      <c r="AF104" s="9">
        <f>AG104*'PAG20 FE GE'!$C$2+AH104*'PAG20 FE GE'!$C$3+AI104*'PAG20 FE GE'!$C$4</f>
        <v>194.3768</v>
      </c>
      <c r="AG104" s="9">
        <v>191.9</v>
      </c>
      <c r="AH104" s="9">
        <f>34.4/1000</f>
        <v>3.44E-2</v>
      </c>
      <c r="AI104" s="9">
        <v>0</v>
      </c>
      <c r="AJ104" s="13">
        <f t="shared" si="41"/>
        <v>6.3340457566976509</v>
      </c>
      <c r="AK104" t="s">
        <v>424</v>
      </c>
      <c r="AL104" t="s">
        <v>790</v>
      </c>
    </row>
    <row r="105" spans="1:38" ht="15.75" thickBot="1" x14ac:dyDescent="0.3">
      <c r="A105" s="4" t="s">
        <v>45</v>
      </c>
      <c r="B105" s="7" t="s">
        <v>16</v>
      </c>
      <c r="C105" s="5" t="s">
        <v>3</v>
      </c>
      <c r="D105" s="6" t="s">
        <v>16</v>
      </c>
      <c r="E105" s="6" t="str">
        <f t="shared" si="35"/>
        <v>Ligeiro de Mercadorias N1: Geral : Gasóleo : Geral</v>
      </c>
      <c r="F105" s="6" t="s">
        <v>55</v>
      </c>
      <c r="G105" s="6" t="s">
        <v>96</v>
      </c>
      <c r="H105" s="9">
        <f>IF(G105="MJ",INDEX(Tabela1[Energia (MJ/Qtd.)],MATCH(C105,Tabela1[Fuel],0)),IF(G105="GJ",INDEX(Tabela1[Energia (GJ/Qtd.)2],MATCH(C105,Tabela1[Fuel],0)),"XXX"))</f>
        <v>3.5868000000000004E-2</v>
      </c>
      <c r="I105" s="9">
        <f>O105*'PAG100 FE GE'!$E$2+P105*'PAG100 FE GE'!$E$3+Q105*'PAG100 FE GE'!$E$4</f>
        <v>69971.918999999994</v>
      </c>
      <c r="J105" s="9">
        <f>O105*'PAG20 FE GE'!$E$2+P105*'PAG20 FE GE'!$E$3+Q105*'PAG20 FE GE'!$E$4</f>
        <v>69972.452000000005</v>
      </c>
      <c r="K105" s="9">
        <f>O105*'PAG100 FE GE'!$D$2+P105*'PAG100 FE GE'!$D$3+Q105*'PAG100 FE GE'!$D$4</f>
        <v>69950.48</v>
      </c>
      <c r="L105" s="9">
        <f>O105*'PAG20 FE GE'!$D$2+P105*'PAG20 FE GE'!$D$3+Q105*'PAG20 FE GE'!$D$4</f>
        <v>69948.37000000001</v>
      </c>
      <c r="M105" s="9">
        <f>O105*'PAG100 FE GE'!$C$2+P105*'PAG100 FE GE'!$C$3+Q105*'PAG100 FE GE'!$C$4</f>
        <v>70038.89</v>
      </c>
      <c r="N105" s="9">
        <f>O105*'PAG20 FE GE'!$C$2+P105*'PAG20 FE GE'!$C$3+Q105*'PAG20 FE GE'!$C$4</f>
        <v>70015.240000000005</v>
      </c>
      <c r="O105" s="16">
        <f>69.24*1000</f>
        <v>69240</v>
      </c>
      <c r="P105" s="16">
        <f>0.00001*1000</f>
        <v>0.01</v>
      </c>
      <c r="Q105" s="16">
        <f>0.00268*1000</f>
        <v>2.68</v>
      </c>
      <c r="R105" s="9">
        <f>X105*'PAG100 FE GE'!$E$2+Y105*'PAG100 FE GE'!$E$3+Z105*'PAG100 FE GE'!$E$4</f>
        <v>2509.752790692</v>
      </c>
      <c r="S105" s="9">
        <f>X105*'PAG20 FE GE'!$E$2+Y105*'PAG20 FE GE'!$E$3+Z105*'PAG20 FE GE'!$E$4</f>
        <v>2509.7719083360003</v>
      </c>
      <c r="T105" s="9">
        <f>X105*'PAG100 FE GE'!$D$2+Y105*'PAG100 FE GE'!$D$3+Z105*'PAG100 FE GE'!$D$4</f>
        <v>2508.98381664</v>
      </c>
      <c r="U105" s="9">
        <f>X105*'PAG20 FE GE'!$D$2+Y105*'PAG20 FE GE'!$D$3+Z105*'PAG20 FE GE'!$D$4</f>
        <v>2508.9081351600003</v>
      </c>
      <c r="V105" s="9">
        <f>X105*'PAG100 FE GE'!$C$2+Y105*'PAG100 FE GE'!$C$3+Z105*'PAG100 FE GE'!$C$4</f>
        <v>2512.1549065200002</v>
      </c>
      <c r="W105" s="9">
        <f>X105*'PAG20 FE GE'!$C$2+Y105*'PAG20 FE GE'!$C$3+Z105*'PAG20 FE GE'!$C$4</f>
        <v>2511.3066283200001</v>
      </c>
      <c r="X105" s="9">
        <f t="shared" si="36"/>
        <v>2483.5003200000001</v>
      </c>
      <c r="Y105" s="9">
        <f t="shared" si="37"/>
        <v>3.5868000000000006E-4</v>
      </c>
      <c r="Z105" s="9">
        <f t="shared" si="38"/>
        <v>9.6126240000000016E-2</v>
      </c>
      <c r="AA105" s="9">
        <f>AG105*'PAG100 FE GE'!$E$2+AH105*'PAG100 FE GE'!$E$3+AI105*'PAG100 FE GE'!$E$4</f>
        <v>231.59997300000001</v>
      </c>
      <c r="AB105" s="9">
        <f>AG105*'PAG20 FE GE'!$E$2+AH105*'PAG20 FE GE'!$E$3+AI105*'PAG20 FE GE'!$E$4</f>
        <v>231.75294400000001</v>
      </c>
      <c r="AC105" s="9">
        <f>AG105*'PAG100 FE GE'!$D$2+AH105*'PAG100 FE GE'!$D$3+AI105*'PAG100 FE GE'!$D$4</f>
        <v>231.54986000000002</v>
      </c>
      <c r="AD105" s="9">
        <f>AG105*'PAG20 FE GE'!$D$2+AH105*'PAG20 FE GE'!$D$3+AI105*'PAG20 FE GE'!$D$4</f>
        <v>231.70715000000001</v>
      </c>
      <c r="AE105" s="9">
        <f>AG105*'PAG100 FE GE'!$C$2+AH105*'PAG100 FE GE'!$C$3+AI105*'PAG100 FE GE'!$C$4</f>
        <v>231.74915000000001</v>
      </c>
      <c r="AF105" s="9">
        <f>AG105*'PAG20 FE GE'!$C$2+AH105*'PAG20 FE GE'!$C$3+AI105*'PAG20 FE GE'!$C$4</f>
        <v>231.82733999999999</v>
      </c>
      <c r="AG105" s="9">
        <v>229.8</v>
      </c>
      <c r="AH105" s="9">
        <f>2.87/1000</f>
        <v>2.8700000000000002E-3</v>
      </c>
      <c r="AI105" s="9">
        <f>6.3/1000</f>
        <v>6.3E-3</v>
      </c>
      <c r="AJ105" s="13">
        <f t="shared" si="41"/>
        <v>9.2530690714789205</v>
      </c>
      <c r="AK105" t="s">
        <v>424</v>
      </c>
      <c r="AL105" t="s">
        <v>790</v>
      </c>
    </row>
    <row r="106" spans="1:38" ht="15.75" thickBot="1" x14ac:dyDescent="0.3">
      <c r="A106" s="4" t="s">
        <v>45</v>
      </c>
      <c r="B106" s="7" t="s">
        <v>16</v>
      </c>
      <c r="C106" s="5" t="s">
        <v>42</v>
      </c>
      <c r="D106" s="6" t="s">
        <v>16</v>
      </c>
      <c r="E106" s="6" t="str">
        <f t="shared" si="35"/>
        <v>Ligeiro de Mercadorias N1: Geral : Gasolina : Geral</v>
      </c>
      <c r="F106" s="6" t="s">
        <v>55</v>
      </c>
      <c r="G106" s="6" t="s">
        <v>96</v>
      </c>
      <c r="H106" s="9">
        <f>IF(G106="MJ",INDEX(Tabela1[Energia (MJ/Qtd.)],MATCH(C106,Tabela1[Fuel],0)),IF(G106="GJ",INDEX(Tabela1[Energia (GJ/Qtd.)2],MATCH(C106,Tabela1[Fuel],0)),"XXX"))</f>
        <v>3.2827500000000003E-2</v>
      </c>
      <c r="I106" s="9">
        <f>O106*'PAG100 FE GE'!$E$2+P106*'PAG100 FE GE'!$E$3+Q106*'PAG100 FE GE'!$E$4</f>
        <v>71736.990000000005</v>
      </c>
      <c r="J106" s="9">
        <f>O106*'PAG20 FE GE'!$E$2+P106*'PAG20 FE GE'!$E$3+Q106*'PAG20 FE GE'!$E$4</f>
        <v>72088.77</v>
      </c>
      <c r="K106" s="9">
        <f>O106*'PAG100 FE GE'!$D$2+P106*'PAG100 FE GE'!$D$3+Q106*'PAG100 FE GE'!$D$4</f>
        <v>71734.05</v>
      </c>
      <c r="L106" s="9">
        <f>O106*'PAG20 FE GE'!$D$2+P106*'PAG20 FE GE'!$D$3+Q106*'PAG20 FE GE'!$D$4</f>
        <v>72109.8</v>
      </c>
      <c r="M106" s="9">
        <f>O106*'PAG100 FE GE'!$C$2+P106*'PAG100 FE GE'!$C$3+Q106*'PAG100 FE GE'!$C$4</f>
        <v>71729.100000000006</v>
      </c>
      <c r="N106" s="9">
        <f>O106*'PAG20 FE GE'!$C$2+P106*'PAG20 FE GE'!$C$3+Q106*'PAG20 FE GE'!$C$4</f>
        <v>72035.25</v>
      </c>
      <c r="O106" s="16">
        <f>71.43*1000</f>
        <v>71430</v>
      </c>
      <c r="P106" s="16">
        <f>0.0066*1000</f>
        <v>6.6</v>
      </c>
      <c r="Q106" s="16">
        <f>0.00045*1000</f>
        <v>0.45</v>
      </c>
      <c r="R106" s="9">
        <f>X106*'PAG100 FE GE'!$E$2+Y106*'PAG100 FE GE'!$E$3+Z106*'PAG100 FE GE'!$E$4</f>
        <v>2354.9460392250007</v>
      </c>
      <c r="S106" s="9">
        <f>X106*'PAG20 FE GE'!$E$2+Y106*'PAG20 FE GE'!$E$3+Z106*'PAG20 FE GE'!$E$4</f>
        <v>2366.4940971750007</v>
      </c>
      <c r="T106" s="9">
        <f>X106*'PAG100 FE GE'!$D$2+Y106*'PAG100 FE GE'!$D$3+Z106*'PAG100 FE GE'!$D$4</f>
        <v>2354.8495263750006</v>
      </c>
      <c r="U106" s="9">
        <f>X106*'PAG20 FE GE'!$D$2+Y106*'PAG20 FE GE'!$D$3+Z106*'PAG20 FE GE'!$D$4</f>
        <v>2367.1844595000002</v>
      </c>
      <c r="V106" s="9">
        <f>X106*'PAG100 FE GE'!$C$2+Y106*'PAG100 FE GE'!$C$3+Z106*'PAG100 FE GE'!$C$4</f>
        <v>2354.6870302500001</v>
      </c>
      <c r="W106" s="9">
        <f>X106*'PAG20 FE GE'!$C$2+Y106*'PAG20 FE GE'!$C$3+Z106*'PAG20 FE GE'!$C$4</f>
        <v>2364.7371693750001</v>
      </c>
      <c r="X106" s="9">
        <f t="shared" si="36"/>
        <v>2344.8683250000004</v>
      </c>
      <c r="Y106" s="9">
        <f t="shared" si="37"/>
        <v>0.21666150000000001</v>
      </c>
      <c r="Z106" s="9">
        <f t="shared" si="38"/>
        <v>1.4772375000000001E-2</v>
      </c>
      <c r="AA106" s="9">
        <f>AG106*'PAG100 FE GE'!$E$2+AH106*'PAG100 FE GE'!$E$3+AI106*'PAG100 FE GE'!$E$4</f>
        <v>265.02922600000005</v>
      </c>
      <c r="AB106" s="9">
        <f>AG106*'PAG20 FE GE'!$E$2+AH106*'PAG20 FE GE'!$E$3+AI106*'PAG20 FE GE'!$E$4</f>
        <v>269.52987800000005</v>
      </c>
      <c r="AC106" s="9">
        <f>AG106*'PAG100 FE GE'!$D$2+AH106*'PAG100 FE GE'!$D$3+AI106*'PAG100 FE GE'!$D$4</f>
        <v>264.96607000000006</v>
      </c>
      <c r="AD106" s="9">
        <f>AG106*'PAG20 FE GE'!$D$2+AH106*'PAG20 FE GE'!$D$3+AI106*'PAG20 FE GE'!$D$4</f>
        <v>269.77019999999999</v>
      </c>
      <c r="AE106" s="9">
        <f>AG106*'PAG100 FE GE'!$C$2+AH106*'PAG100 FE GE'!$C$3+AI106*'PAG100 FE GE'!$C$4</f>
        <v>265.00810000000001</v>
      </c>
      <c r="AF106" s="9">
        <f>AG106*'PAG20 FE GE'!$C$2+AH106*'PAG20 FE GE'!$C$3+AI106*'PAG20 FE GE'!$C$4</f>
        <v>268.89623</v>
      </c>
      <c r="AG106" s="9">
        <v>260.23</v>
      </c>
      <c r="AH106" s="9">
        <f>84.44/1000</f>
        <v>8.4440000000000001E-2</v>
      </c>
      <c r="AI106" s="9">
        <f>8.95/1000</f>
        <v>8.9499999999999996E-3</v>
      </c>
      <c r="AJ106" s="13">
        <f t="shared" si="41"/>
        <v>11.097851304720916</v>
      </c>
      <c r="AK106" t="s">
        <v>424</v>
      </c>
      <c r="AL106" t="s">
        <v>790</v>
      </c>
    </row>
    <row r="107" spans="1:38" ht="15.75" thickBot="1" x14ac:dyDescent="0.3">
      <c r="A107" s="4" t="s">
        <v>45</v>
      </c>
      <c r="B107" s="7" t="s">
        <v>16</v>
      </c>
      <c r="C107" s="5" t="s">
        <v>3</v>
      </c>
      <c r="D107" s="6" t="s">
        <v>5</v>
      </c>
      <c r="E107" s="6" t="str">
        <f t="shared" ref="E107" si="42">A107&amp;": "&amp;B107&amp;" : "&amp;C107&amp;" : "&amp;D107</f>
        <v>Ligeiro de Mercadorias N1: Geral : Gasóleo : E5</v>
      </c>
      <c r="F107" s="6" t="s">
        <v>55</v>
      </c>
      <c r="G107" s="6" t="s">
        <v>96</v>
      </c>
      <c r="H107" s="9">
        <f>IF(G107="MJ",INDEX(Tabela1[Energia (MJ/Qtd.)],MATCH(C107,Tabela1[Fuel],0)),IF(G107="GJ",INDEX(Tabela1[Energia (GJ/Qtd.)2],MATCH(C107,Tabela1[Fuel],0)),"XXX"))</f>
        <v>3.5868000000000004E-2</v>
      </c>
      <c r="I107" s="9"/>
      <c r="J107" s="9"/>
      <c r="K107" s="9"/>
      <c r="L107" s="9"/>
      <c r="M107" s="9"/>
      <c r="N107" s="9"/>
      <c r="O107" s="16"/>
      <c r="P107" s="16"/>
      <c r="Q107" s="16"/>
      <c r="R107" s="9"/>
      <c r="S107" s="9"/>
      <c r="T107" s="9"/>
      <c r="U107" s="9"/>
      <c r="V107" s="9"/>
      <c r="W107" s="9"/>
      <c r="X107" s="9"/>
      <c r="Y107" s="9"/>
      <c r="Z107" s="9"/>
      <c r="AA107" s="9"/>
      <c r="AB107" s="9"/>
      <c r="AC107" s="9"/>
      <c r="AD107" s="9"/>
      <c r="AE107" s="9"/>
      <c r="AF107" s="9"/>
      <c r="AG107" s="9"/>
      <c r="AH107" s="9"/>
      <c r="AI107" s="9"/>
    </row>
    <row r="108" spans="1:38" ht="15.75" thickBot="1" x14ac:dyDescent="0.3">
      <c r="A108" s="4" t="s">
        <v>45</v>
      </c>
      <c r="B108" s="7" t="s">
        <v>16</v>
      </c>
      <c r="C108" s="5" t="s">
        <v>3</v>
      </c>
      <c r="D108" s="6" t="s">
        <v>6</v>
      </c>
      <c r="E108" s="6" t="str">
        <f t="shared" ref="E108:E109" si="43">A108&amp;": "&amp;B108&amp;" : "&amp;C108&amp;" : "&amp;D108</f>
        <v>Ligeiro de Mercadorias N1: Geral : Gasóleo : E6</v>
      </c>
      <c r="F108" s="6" t="s">
        <v>55</v>
      </c>
      <c r="G108" s="6" t="s">
        <v>96</v>
      </c>
      <c r="H108" s="9">
        <f>IF(G108="MJ",INDEX(Tabela1[Energia (MJ/Qtd.)],MATCH(C108,Tabela1[Fuel],0)),IF(G108="GJ",INDEX(Tabela1[Energia (GJ/Qtd.)2],MATCH(C108,Tabela1[Fuel],0)),"XXX"))</f>
        <v>3.5868000000000004E-2</v>
      </c>
      <c r="I108" s="9"/>
      <c r="J108" s="9"/>
      <c r="K108" s="9"/>
      <c r="L108" s="9"/>
      <c r="M108" s="9"/>
      <c r="N108" s="9"/>
      <c r="O108" s="16"/>
      <c r="P108" s="16"/>
      <c r="Q108" s="16"/>
      <c r="R108" s="9"/>
      <c r="S108" s="9"/>
      <c r="T108" s="9"/>
      <c r="U108" s="9"/>
      <c r="V108" s="9"/>
      <c r="W108" s="9"/>
      <c r="X108" s="9"/>
      <c r="Y108" s="9"/>
      <c r="Z108" s="9"/>
      <c r="AA108" s="9"/>
      <c r="AB108" s="9"/>
      <c r="AC108" s="9"/>
      <c r="AD108" s="9"/>
      <c r="AE108" s="9"/>
      <c r="AF108" s="9"/>
      <c r="AG108" s="9"/>
      <c r="AH108" s="9"/>
      <c r="AI108" s="9"/>
    </row>
    <row r="109" spans="1:38" ht="15.75" thickBot="1" x14ac:dyDescent="0.3">
      <c r="A109" s="4" t="s">
        <v>45</v>
      </c>
      <c r="B109" s="7" t="s">
        <v>16</v>
      </c>
      <c r="C109" s="5" t="s">
        <v>3</v>
      </c>
      <c r="D109" s="6" t="s">
        <v>81</v>
      </c>
      <c r="E109" s="6" t="str">
        <f t="shared" si="43"/>
        <v>Ligeiro de Mercadorias N1: Geral : Gasóleo : E6 D/E E7</v>
      </c>
      <c r="F109" s="6" t="s">
        <v>55</v>
      </c>
      <c r="G109" s="6" t="s">
        <v>96</v>
      </c>
      <c r="H109" s="9">
        <f>IF(G109="MJ",INDEX(Tabela1[Energia (MJ/Qtd.)],MATCH(C109,Tabela1[Fuel],0)),IF(G109="GJ",INDEX(Tabela1[Energia (GJ/Qtd.)2],MATCH(C109,Tabela1[Fuel],0)),"XXX"))</f>
        <v>3.5868000000000004E-2</v>
      </c>
      <c r="I109" s="9"/>
      <c r="J109" s="9"/>
      <c r="K109" s="9"/>
      <c r="L109" s="9"/>
      <c r="M109" s="9"/>
      <c r="N109" s="9"/>
      <c r="O109" s="16"/>
      <c r="P109" s="16"/>
      <c r="Q109" s="16"/>
      <c r="R109" s="9"/>
      <c r="S109" s="9"/>
      <c r="T109" s="9"/>
      <c r="U109" s="9"/>
      <c r="V109" s="9"/>
      <c r="W109" s="9"/>
      <c r="X109" s="9"/>
      <c r="Y109" s="9"/>
      <c r="Z109" s="9"/>
      <c r="AA109" s="9"/>
      <c r="AB109" s="9"/>
      <c r="AC109" s="9"/>
      <c r="AD109" s="9"/>
      <c r="AE109" s="9"/>
      <c r="AF109" s="9"/>
      <c r="AG109" s="9"/>
      <c r="AH109" s="9"/>
      <c r="AI109" s="9"/>
    </row>
    <row r="110" spans="1:38" ht="15.75" thickBot="1" x14ac:dyDescent="0.3">
      <c r="A110" s="4" t="s">
        <v>46</v>
      </c>
      <c r="B110" s="7" t="s">
        <v>16</v>
      </c>
      <c r="C110" s="5" t="s">
        <v>3</v>
      </c>
      <c r="D110" s="6" t="s">
        <v>16</v>
      </c>
      <c r="E110" s="6" t="str">
        <f t="shared" si="35"/>
        <v>Pesado de Mercadorias N3: Geral : Gasóleo : Geral</v>
      </c>
      <c r="F110" s="6" t="s">
        <v>55</v>
      </c>
      <c r="G110" s="6" t="s">
        <v>96</v>
      </c>
      <c r="H110" s="9">
        <f>IF(G110="MJ",INDEX(Tabela1[Energia (MJ/Qtd.)],MATCH(C110,Tabela1[Fuel],0)),IF(G110="GJ",INDEX(Tabela1[Energia (GJ/Qtd.)2],MATCH(C110,Tabela1[Fuel],0)),"XXX"))</f>
        <v>3.5868000000000004E-2</v>
      </c>
      <c r="I110" s="215">
        <f>I117*'NIR APA vkm'!$M$64+I118*'NIR APA vkm'!$M$65+I119*'NIR APA vkm'!$M$66</f>
        <v>70225.469543681262</v>
      </c>
      <c r="J110" s="215">
        <f>J117*'NIR APA vkm'!$M$64+J118*'NIR APA vkm'!$M$65+J119*'NIR APA vkm'!$M$66</f>
        <v>70345.155229863085</v>
      </c>
      <c r="K110" s="215">
        <f>K117*'NIR APA vkm'!$M$64+K118*'NIR APA vkm'!$M$65+K119*'NIR APA vkm'!$M$66</f>
        <v>70200.274587967782</v>
      </c>
      <c r="L110" s="215">
        <f>L117*'NIR APA vkm'!$M$64+L118*'NIR APA vkm'!$M$65+L119*'NIR APA vkm'!$M$66</f>
        <v>70325.09122303054</v>
      </c>
      <c r="M110" s="215">
        <f>M117*'NIR APA vkm'!$M$64+M118*'NIR APA vkm'!$M$65+M119*'NIR APA vkm'!$M$66</f>
        <v>70298.393523006351</v>
      </c>
      <c r="N110" s="215">
        <f>N117*'NIR APA vkm'!$M$64+N118*'NIR APA vkm'!$M$65+N119*'NIR APA vkm'!$M$66</f>
        <v>70375.335550752745</v>
      </c>
      <c r="O110" s="215">
        <f>O117*'NIR APA vkm'!$M$64+O118*'NIR APA vkm'!$M$65+O119*'NIR APA vkm'!$M$66</f>
        <v>69295.37914621488</v>
      </c>
      <c r="P110" s="215">
        <f>P117*'NIR APA vkm'!$M$64+P118*'NIR APA vkm'!$M$65+P119*'NIR APA vkm'!$M$66</f>
        <v>2.2455100596967443</v>
      </c>
      <c r="Q110" s="215">
        <f>Q117*'NIR APA vkm'!$M$64+Q118*'NIR APA vkm'!$M$65+Q119*'NIR APA vkm'!$M$66</f>
        <v>3.1774383399297514</v>
      </c>
      <c r="R110" s="215">
        <f>R117*'NIR APA vkm'!$M$64+R118*'NIR APA vkm'!$M$65+R119*'NIR APA vkm'!$M$66</f>
        <v>2518.8471415927593</v>
      </c>
      <c r="S110" s="215">
        <f>S117*'NIR APA vkm'!$M$64+S118*'NIR APA vkm'!$M$65+S119*'NIR APA vkm'!$M$66</f>
        <v>2523.1400277847292</v>
      </c>
      <c r="T110" s="215">
        <f>T117*'NIR APA vkm'!$M$64+T118*'NIR APA vkm'!$M$65+T119*'NIR APA vkm'!$M$66</f>
        <v>2517.9434489212281</v>
      </c>
      <c r="U110" s="215">
        <f>U117*'NIR APA vkm'!$M$64+U118*'NIR APA vkm'!$M$65+U119*'NIR APA vkm'!$M$66</f>
        <v>2522.4203719876605</v>
      </c>
      <c r="V110" s="215">
        <f>V117*'NIR APA vkm'!$M$64+V118*'NIR APA vkm'!$M$65+V119*'NIR APA vkm'!$M$66</f>
        <v>2521.4627788831922</v>
      </c>
      <c r="W110" s="215">
        <f>W117*'NIR APA vkm'!$M$64+W118*'NIR APA vkm'!$M$65+W119*'NIR APA vkm'!$M$66</f>
        <v>2524.2225355343994</v>
      </c>
      <c r="X110" s="215">
        <f>X117*'NIR APA vkm'!$M$64+X118*'NIR APA vkm'!$M$65+X119*'NIR APA vkm'!$M$66</f>
        <v>2485.4866592164353</v>
      </c>
      <c r="Y110" s="215">
        <f>Y117*'NIR APA vkm'!$M$64+Y118*'NIR APA vkm'!$M$65+Y119*'NIR APA vkm'!$M$66</f>
        <v>8.0541954821202841E-2</v>
      </c>
      <c r="Z110" s="215">
        <f>Z117*'NIR APA vkm'!$M$64+Z118*'NIR APA vkm'!$M$65+Z119*'NIR APA vkm'!$M$66</f>
        <v>0.11396835837660033</v>
      </c>
      <c r="AA110" s="217">
        <f>AA117*'NIR APA vkm'!$M$64+AA118*'NIR APA vkm'!$M$65+AA119*'NIR APA vkm'!$M$66</f>
        <v>566.90748992480394</v>
      </c>
      <c r="AB110" s="217">
        <f>AB117*'NIR APA vkm'!$M$64+AB118*'NIR APA vkm'!$M$65+AB119*'NIR APA vkm'!$M$66</f>
        <v>567.93041340114428</v>
      </c>
      <c r="AC110" s="217">
        <f>AC117*'NIR APA vkm'!$M$64+AC118*'NIR APA vkm'!$M$65+AC119*'NIR APA vkm'!$M$66</f>
        <v>566.71057734238354</v>
      </c>
      <c r="AD110" s="217">
        <f>AD117*'NIR APA vkm'!$M$64+AD118*'NIR APA vkm'!$M$65+AD119*'NIR APA vkm'!$M$66</f>
        <v>567.77965654552725</v>
      </c>
      <c r="AE110" s="217">
        <f>AE117*'NIR APA vkm'!$M$64+AE118*'NIR APA vkm'!$M$65+AE119*'NIR APA vkm'!$M$66</f>
        <v>567.473182936331</v>
      </c>
      <c r="AF110" s="217">
        <f>AF117*'NIR APA vkm'!$M$64+AF118*'NIR APA vkm'!$M$65+AF119*'NIR APA vkm'!$M$66</f>
        <v>568.1515122754214</v>
      </c>
      <c r="AG110" s="217">
        <f>AG117*'NIR APA vkm'!$M$64+AG118*'NIR APA vkm'!$M$65+AG119*'NIR APA vkm'!$M$66</f>
        <v>559.58690449711514</v>
      </c>
      <c r="AH110" s="217">
        <f>AH117*'NIR APA vkm'!$M$64+AH118*'NIR APA vkm'!$M$65+AH119*'NIR APA vkm'!$M$66</f>
        <v>1.9191810062670706E-2</v>
      </c>
      <c r="AI110" s="217">
        <f>AI117*'NIR APA vkm'!$M$64+AI118*'NIR APA vkm'!$M$65+AI119*'NIR APA vkm'!$M$66</f>
        <v>2.4853970428352998E-2</v>
      </c>
      <c r="AJ110" s="215">
        <f>AJ117*'NIR APA vkm'!$M$64+AJ118*'NIR APA vkm'!$M$65+AJ119*'NIR APA vkm'!$M$66</f>
        <v>22.516702178952492</v>
      </c>
      <c r="AK110" t="s">
        <v>424</v>
      </c>
      <c r="AL110" t="s">
        <v>790</v>
      </c>
    </row>
    <row r="111" spans="1:38" ht="15.75" thickBot="1" x14ac:dyDescent="0.3">
      <c r="A111" s="4" t="s">
        <v>2</v>
      </c>
      <c r="B111" s="7" t="s">
        <v>16</v>
      </c>
      <c r="C111" s="5" t="s">
        <v>3</v>
      </c>
      <c r="D111" s="6" t="s">
        <v>16</v>
      </c>
      <c r="E111" s="6" t="str">
        <f t="shared" si="35"/>
        <v>Pesado de Passageiros M3: Geral : Gasóleo : Geral</v>
      </c>
      <c r="F111" s="6" t="s">
        <v>55</v>
      </c>
      <c r="G111" s="6" t="s">
        <v>96</v>
      </c>
      <c r="H111" s="9">
        <f>IF(G111="MJ",INDEX(Tabela1[Energia (MJ/Qtd.)],MATCH(C111,Tabela1[Fuel],0)),IF(G111="GJ",INDEX(Tabela1[Energia (GJ/Qtd.)2],MATCH(C111,Tabela1[Fuel],0)),"XXX"))</f>
        <v>3.5868000000000004E-2</v>
      </c>
      <c r="I111" s="215">
        <f>I112*'NIR APA vkm'!$M$67+'NIR APA vkm'!$M$68*I116</f>
        <v>69744.80696276197</v>
      </c>
      <c r="J111" s="215">
        <f>J112*'NIR APA vkm'!$M$67+'NIR APA vkm'!$M$68*J116</f>
        <v>69864.744399271396</v>
      </c>
      <c r="K111" s="215">
        <f>K112*'NIR APA vkm'!$M$67+'NIR APA vkm'!$M$68*K116</f>
        <v>69734.638331607901</v>
      </c>
      <c r="L111" s="215">
        <f>L112*'NIR APA vkm'!$M$67+'NIR APA vkm'!$M$68*L116</f>
        <v>69861.602424628873</v>
      </c>
      <c r="M111" s="215">
        <f>M112*'NIR APA vkm'!$M$67+'NIR APA vkm'!$M$68*M116</f>
        <v>69770.761456376014</v>
      </c>
      <c r="N111" s="215">
        <f>N112*'NIR APA vkm'!$M$67+'NIR APA vkm'!$M$68*N116</f>
        <v>69864.82956160605</v>
      </c>
      <c r="O111" s="215">
        <f>O112*'NIR APA vkm'!$M$67+'NIR APA vkm'!$M$68*O116</f>
        <v>69327.341993472277</v>
      </c>
      <c r="P111" s="215">
        <f>P112*'NIR APA vkm'!$M$67+'NIR APA vkm'!$M$68*P116</f>
        <v>2.2502333303831179</v>
      </c>
      <c r="Q111" s="215">
        <f>Q112*'NIR APA vkm'!$M$67+'NIR APA vkm'!$M$68*Q116</f>
        <v>1.299206810886381</v>
      </c>
      <c r="R111" s="215">
        <f>R112*'NIR APA vkm'!$M$67+'NIR APA vkm'!$M$68*R116</f>
        <v>2501.606736140347</v>
      </c>
      <c r="S111" s="215">
        <f>S112*'NIR APA vkm'!$M$67+'NIR APA vkm'!$M$68*S116</f>
        <v>2505.9086521130662</v>
      </c>
      <c r="T111" s="215">
        <f>T112*'NIR APA vkm'!$M$67+'NIR APA vkm'!$M$68*T116</f>
        <v>2501.2420076781127</v>
      </c>
      <c r="U111" s="215">
        <f>U112*'NIR APA vkm'!$M$67+'NIR APA vkm'!$M$68*U116</f>
        <v>2505.7959557665886</v>
      </c>
      <c r="V111" s="215">
        <f>V112*'NIR APA vkm'!$M$67+'NIR APA vkm'!$M$68*V116</f>
        <v>2502.5376719172955</v>
      </c>
      <c r="W111" s="215">
        <f>W112*'NIR APA vkm'!$M$67+'NIR APA vkm'!$M$68*W116</f>
        <v>2505.9117067156863</v>
      </c>
      <c r="X111" s="215">
        <f>X112*'NIR APA vkm'!$M$67+'NIR APA vkm'!$M$68*X116</f>
        <v>2486.6331026218645</v>
      </c>
      <c r="Y111" s="215">
        <f>Y112*'NIR APA vkm'!$M$67+'NIR APA vkm'!$M$68*Y116</f>
        <v>8.0711369094181681E-2</v>
      </c>
      <c r="Z111" s="215">
        <f>Z112*'NIR APA vkm'!$M$67+'NIR APA vkm'!$M$68*Z116</f>
        <v>4.6599949892872722E-2</v>
      </c>
      <c r="AA111" s="217">
        <f>AA112*'NIR APA vkm'!$M$67+'NIR APA vkm'!$M$68*AA116</f>
        <v>1205.874728019641</v>
      </c>
      <c r="AB111" s="217">
        <f>AB112*'NIR APA vkm'!$M$67+'NIR APA vkm'!$M$68*AB116</f>
        <v>1208.0746843850143</v>
      </c>
      <c r="AC111" s="217">
        <f>AC112*'NIR APA vkm'!$M$67+'NIR APA vkm'!$M$68*AC116</f>
        <v>1205.7071527099442</v>
      </c>
      <c r="AD111" s="217">
        <f>AD112*'NIR APA vkm'!$M$67+'NIR APA vkm'!$M$68*AD116</f>
        <v>1208.0383636456074</v>
      </c>
      <c r="AE111" s="217">
        <f>AE112*'NIR APA vkm'!$M$67+'NIR APA vkm'!$M$68*AE116</f>
        <v>1206.291601855025</v>
      </c>
      <c r="AF111" s="217">
        <f>AF112*'NIR APA vkm'!$M$67+'NIR APA vkm'!$M$68*AF116</f>
        <v>1208.0383601959959</v>
      </c>
      <c r="AG111" s="217">
        <f>AG112*'NIR APA vkm'!$M$67+'NIR APA vkm'!$M$68*AG116</f>
        <v>1198.8637978053025</v>
      </c>
      <c r="AH111" s="217">
        <f>AH112*'NIR APA vkm'!$M$67+'NIR APA vkm'!$M$68*AH116</f>
        <v>4.1274978712445592E-2</v>
      </c>
      <c r="AI111" s="217">
        <f>AI112*'NIR APA vkm'!$M$67+'NIR APA vkm'!$M$68*AI116</f>
        <v>2.1462850946011476E-2</v>
      </c>
      <c r="AJ111" s="215">
        <f>AJ112*'NIR APA vkm'!$M$67+'NIR APA vkm'!$M$68*AJ116</f>
        <v>48.21495899938926</v>
      </c>
      <c r="AK111" t="s">
        <v>424</v>
      </c>
      <c r="AL111" t="s">
        <v>790</v>
      </c>
    </row>
    <row r="112" spans="1:38" ht="15.75" thickBot="1" x14ac:dyDescent="0.3">
      <c r="A112" s="4" t="s">
        <v>2</v>
      </c>
      <c r="B112" s="7" t="s">
        <v>13</v>
      </c>
      <c r="C112" s="5" t="s">
        <v>3</v>
      </c>
      <c r="D112" s="6" t="s">
        <v>16</v>
      </c>
      <c r="E112" s="6" t="str">
        <f t="shared" ref="E112" si="44">A112&amp;": "&amp;B112&amp;" : "&amp;C112&amp;" : "&amp;D112</f>
        <v>Pesado de Passageiros M3: I : Gasóleo : Geral</v>
      </c>
      <c r="F112" s="6" t="s">
        <v>55</v>
      </c>
      <c r="G112" s="6" t="s">
        <v>96</v>
      </c>
      <c r="H112" s="9">
        <f>IF(G112="MJ",INDEX(Tabela1[Energia (MJ/Qtd.)],MATCH(C112,Tabela1[Fuel],0)),IF(G112="GJ",INDEX(Tabela1[Energia (GJ/Qtd.)2],MATCH(C112,Tabela1[Fuel],0)),"XXX"))</f>
        <v>3.5868000000000004E-2</v>
      </c>
      <c r="I112" s="213">
        <f>SUMPRODUCT(I2:I9,'NIR APA vkm'!$M$2:$M$9)</f>
        <v>69728.746297267528</v>
      </c>
      <c r="J112" s="213">
        <f>SUMPRODUCT(J2:J9,'NIR APA vkm'!$M$2:$M$9)</f>
        <v>69849.855743673659</v>
      </c>
      <c r="K112" s="213">
        <f>SUMPRODUCT(K2:K9,'NIR APA vkm'!$M$2:$M$9)</f>
        <v>69719.339387768341</v>
      </c>
      <c r="L112" s="213">
        <f>SUMPRODUCT(L2:L9,'NIR APA vkm'!$M$2:$M$9)</f>
        <v>69847.651790067248</v>
      </c>
      <c r="M112" s="213">
        <f>SUMPRODUCT(M2:M9,'NIR APA vkm'!$M$2:$M$9)</f>
        <v>69752.263514357212</v>
      </c>
      <c r="N112" s="213">
        <f>SUMPRODUCT(N2:N9,'NIR APA vkm'!$M$2:$M$9)</f>
        <v>69848.219562340761</v>
      </c>
      <c r="O112" s="213">
        <f>SUMPRODUCT(O2:O9,'NIR APA vkm'!$M$2:$M$9)</f>
        <v>69336.586551122396</v>
      </c>
      <c r="P112" s="213">
        <f>SUMPRODUCT(P2:P9,'NIR APA vkm'!$M$2:$M$9)</f>
        <v>2.2722222590266026</v>
      </c>
      <c r="Q112" s="213">
        <f>SUMPRODUCT(Q2:Q9,'NIR APA vkm'!$M$2:$M$9)</f>
        <v>1.2042664656346884</v>
      </c>
      <c r="R112" s="213">
        <f>SUMPRODUCT(R2:R9,'NIR APA vkm'!$M$2:$M$9)</f>
        <v>2501.0306721903926</v>
      </c>
      <c r="S112" s="213">
        <f>SUMPRODUCT(S2:S9,'NIR APA vkm'!$M$2:$M$9)</f>
        <v>2505.3746258140864</v>
      </c>
      <c r="T112" s="213">
        <f>SUMPRODUCT(T2:T9,'NIR APA vkm'!$M$2:$M$9)</f>
        <v>2500.6932651604752</v>
      </c>
      <c r="U112" s="213">
        <f>SUMPRODUCT(U2:U9,'NIR APA vkm'!$M$2:$M$9)</f>
        <v>2505.2955744061319</v>
      </c>
      <c r="V112" s="213">
        <f>SUMPRODUCT(V2:V9,'NIR APA vkm'!$M$2:$M$9)</f>
        <v>2501.8741877329649</v>
      </c>
      <c r="W112" s="213">
        <f>SUMPRODUCT(W2:W9,'NIR APA vkm'!$M$2:$M$9)</f>
        <v>2505.3159392620387</v>
      </c>
      <c r="X112" s="213">
        <f>SUMPRODUCT(X2:X9,'NIR APA vkm'!$M$2:$M$9)</f>
        <v>2486.9646864156593</v>
      </c>
      <c r="Y112" s="213">
        <f>SUMPRODUCT(Y2:Y9,'NIR APA vkm'!$M$2:$M$9)</f>
        <v>8.1500067986766192E-2</v>
      </c>
      <c r="Z112" s="213">
        <f>SUMPRODUCT(Z2:Z9,'NIR APA vkm'!$M$2:$M$9)</f>
        <v>4.3194629589385011E-2</v>
      </c>
      <c r="AA112" s="218">
        <f>SUMPRODUCT(AA2:AA9,'NIR APA vkm'!$M$2:$M$9)</f>
        <v>1281.4439310830448</v>
      </c>
      <c r="AB112" s="218">
        <f>SUMPRODUCT(AB2:AB9,'NIR APA vkm'!$M$2:$M$9)</f>
        <v>1283.8065010648304</v>
      </c>
      <c r="AC112" s="218">
        <f>SUMPRODUCT(AC2:AC9,'NIR APA vkm'!$M$2:$M$9)</f>
        <v>1281.2743065174016</v>
      </c>
      <c r="AD112" s="218">
        <f>SUMPRODUCT(AD2:AD9,'NIR APA vkm'!$M$2:$M$9)</f>
        <v>1283.779125150955</v>
      </c>
      <c r="AE112" s="218">
        <f>SUMPRODUCT(AE2:AE9,'NIR APA vkm'!$M$2:$M$9)</f>
        <v>1281.8593146081307</v>
      </c>
      <c r="AF112" s="218">
        <f>SUMPRODUCT(AF2:AF9,'NIR APA vkm'!$M$2:$M$9)</f>
        <v>1283.7468171785542</v>
      </c>
      <c r="AG112" s="218">
        <f>SUMPRODUCT(AG2:AG9,'NIR APA vkm'!$M$2:$M$9)</f>
        <v>1274.2675383235344</v>
      </c>
      <c r="AH112" s="218">
        <f>SUMPRODUCT(AH2:AH9,'NIR APA vkm'!$M$2:$M$9)</f>
        <v>4.432589084025193E-2</v>
      </c>
      <c r="AI112" s="218">
        <f>SUMPRODUCT(AI2:AI9,'NIR APA vkm'!$M$2:$M$9)</f>
        <v>2.1757144340906268E-2</v>
      </c>
      <c r="AJ112" s="213">
        <f>SUMPRODUCT(AJ2:AJ9,'NIR APA vkm'!$M$2:$M$9)</f>
        <v>51.244189488813774</v>
      </c>
      <c r="AK112" t="s">
        <v>424</v>
      </c>
      <c r="AL112" t="s">
        <v>790</v>
      </c>
    </row>
    <row r="113" spans="1:38" ht="15.75" thickBot="1" x14ac:dyDescent="0.3">
      <c r="A113" s="4" t="s">
        <v>2</v>
      </c>
      <c r="B113" s="7" t="s">
        <v>13</v>
      </c>
      <c r="C113" s="5" t="s">
        <v>92</v>
      </c>
      <c r="D113" s="6" t="s">
        <v>16</v>
      </c>
      <c r="E113" s="6" t="str">
        <f t="shared" ref="E113:E116" si="45">A113&amp;": "&amp;B113&amp;" : "&amp;C113&amp;" : "&amp;D113</f>
        <v>Pesado de Passageiros M3: I : GNC : Geral</v>
      </c>
      <c r="F113" s="6" t="s">
        <v>56</v>
      </c>
      <c r="G113" s="6" t="s">
        <v>96</v>
      </c>
      <c r="H113" s="9">
        <f>IF(G113="MJ",INDEX(Tabela1[Energia (MJ/Qtd.)],MATCH(C113,Tabela1[Fuel],0)),IF(G113="GJ",INDEX(Tabela1[Energia (GJ/Qtd.)2],MATCH(C113,Tabela1[Fuel],0)),"XXX"))</f>
        <v>3.7521600000000002E-2</v>
      </c>
      <c r="I113" s="213">
        <f>I11*'NIR APA vkm'!$M$10+I13*'NIR APA vkm'!$M$11+I15*'NIR APA vkm'!$M$12</f>
        <v>70133.367200150329</v>
      </c>
      <c r="J113" s="213">
        <f>J11*'NIR APA vkm'!$M$10+J13*'NIR APA vkm'!$M$11+J15*'NIR APA vkm'!$M$12</f>
        <v>72410.988706951961</v>
      </c>
      <c r="K113" s="213">
        <f>K11*'NIR APA vkm'!$M$10+K13*'NIR APA vkm'!$M$11+K15*'NIR APA vkm'!$M$12</f>
        <v>69795.628600627751</v>
      </c>
      <c r="L113" s="213">
        <f>L11*'NIR APA vkm'!$M$10+L13*'NIR APA vkm'!$M$11+L15*'NIR APA vkm'!$M$12</f>
        <v>72188.607441144442</v>
      </c>
      <c r="M113" s="213">
        <f>M11*'NIR APA vkm'!$M$10+M13*'NIR APA vkm'!$M$11+M15*'NIR APA vkm'!$M$12</f>
        <v>71078.230986906943</v>
      </c>
      <c r="N113" s="213">
        <f>N11*'NIR APA vkm'!$M$10+N13*'NIR APA vkm'!$M$11+N15*'NIR APA vkm'!$M$12</f>
        <v>72701.876908600927</v>
      </c>
      <c r="O113" s="213">
        <f>O11*'NIR APA vkm'!$M$10+O13*'NIR APA vkm'!$M$11+O15*'NIR APA vkm'!$M$12</f>
        <v>57269.988271335314</v>
      </c>
      <c r="P113" s="213">
        <f>P11*'NIR APA vkm'!$M$10+P13*'NIR APA vkm'!$M$11+P15*'NIR APA vkm'!$M$12</f>
        <v>42.73211082179445</v>
      </c>
      <c r="Q113" s="213">
        <f>Q11*'NIR APA vkm'!$M$10+Q13*'NIR APA vkm'!$M$11+Q15*'NIR APA vkm'!$M$12</f>
        <v>42.751476325593138</v>
      </c>
      <c r="R113" s="213">
        <f>R11*'NIR APA vkm'!$M$10+R13*'NIR APA vkm'!$M$11+R15*'NIR APA vkm'!$M$12</f>
        <v>2631.5161507371595</v>
      </c>
      <c r="S113" s="213">
        <f>S11*'NIR APA vkm'!$M$10+S13*'NIR APA vkm'!$M$11+S15*'NIR APA vkm'!$M$12</f>
        <v>2716.9761538667685</v>
      </c>
      <c r="T113" s="213">
        <f>T11*'NIR APA vkm'!$M$10+T13*'NIR APA vkm'!$M$11+T15*'NIR APA vkm'!$M$12</f>
        <v>2618.8436581013143</v>
      </c>
      <c r="U113" s="213">
        <f>U11*'NIR APA vkm'!$M$10+U13*'NIR APA vkm'!$M$11+U15*'NIR APA vkm'!$M$12</f>
        <v>2708.632052963645</v>
      </c>
      <c r="V113" s="213">
        <f>V11*'NIR APA vkm'!$M$10+V13*'NIR APA vkm'!$M$11+V15*'NIR APA vkm'!$M$12</f>
        <v>2666.9689517983275</v>
      </c>
      <c r="W113" s="213">
        <f>W11*'NIR APA vkm'!$M$10+W13*'NIR APA vkm'!$M$11+W15*'NIR APA vkm'!$M$12</f>
        <v>2727.8907446137609</v>
      </c>
      <c r="X113" s="213">
        <f>X11*'NIR APA vkm'!$M$10+X13*'NIR APA vkm'!$M$11+X15*'NIR APA vkm'!$M$12</f>
        <v>2148.8615919217355</v>
      </c>
      <c r="Y113" s="213">
        <f>Y11*'NIR APA vkm'!$M$10+Y13*'NIR APA vkm'!$M$11+Y15*'NIR APA vkm'!$M$12</f>
        <v>1.6033771694110428</v>
      </c>
      <c r="Z113" s="213">
        <f>Z11*'NIR APA vkm'!$M$10+Z13*'NIR APA vkm'!$M$11+Z15*'NIR APA vkm'!$M$12</f>
        <v>1.6041037940983758</v>
      </c>
      <c r="AA113" s="218">
        <f>AA11*'NIR APA vkm'!$M$10+AA13*'NIR APA vkm'!$M$11+AA15*'NIR APA vkm'!$M$12</f>
        <v>1640.7562352921429</v>
      </c>
      <c r="AB113" s="218">
        <f>AB11*'NIR APA vkm'!$M$10+AB13*'NIR APA vkm'!$M$11+AB15*'NIR APA vkm'!$M$12</f>
        <v>1693.9938255989164</v>
      </c>
      <c r="AC113" s="218">
        <f>AC11*'NIR APA vkm'!$M$10+AC13*'NIR APA vkm'!$M$11+AC15*'NIR APA vkm'!$M$12</f>
        <v>1632.8561182007857</v>
      </c>
      <c r="AD113" s="218">
        <f>AD11*'NIR APA vkm'!$M$10+AD13*'NIR APA vkm'!$M$11+AD15*'NIR APA vkm'!$M$12</f>
        <v>1688.7893761273542</v>
      </c>
      <c r="AE113" s="218">
        <f>AE11*'NIR APA vkm'!$M$10+AE13*'NIR APA vkm'!$M$11+AE15*'NIR APA vkm'!$M$12</f>
        <v>1662.8596309414925</v>
      </c>
      <c r="AF113" s="218">
        <f>AF11*'NIR APA vkm'!$M$10+AF13*'NIR APA vkm'!$M$11+AF15*'NIR APA vkm'!$M$12</f>
        <v>1700.8045980037509</v>
      </c>
      <c r="AG113" s="218">
        <f>AG11*'NIR APA vkm'!$M$10+AG13*'NIR APA vkm'!$M$11+AG15*'NIR APA vkm'!$M$12</f>
        <v>1339.8889037807171</v>
      </c>
      <c r="AH113" s="218">
        <f>AH11*'NIR APA vkm'!$M$10+AH13*'NIR APA vkm'!$M$11+AH15*'NIR APA vkm'!$M$12</f>
        <v>0.99882908643102708</v>
      </c>
      <c r="AI113" s="218">
        <f>AI11*'NIR APA vkm'!$M$10+AI13*'NIR APA vkm'!$M$11+AI15*'NIR APA vkm'!$M$12</f>
        <v>1</v>
      </c>
      <c r="AJ113" s="213">
        <f>AJ11*'NIR APA vkm'!$M$10+AJ13*'NIR APA vkm'!$M$11+AJ15*'NIR APA vkm'!$M$12</f>
        <v>62.353431550722632</v>
      </c>
      <c r="AK113" t="s">
        <v>424</v>
      </c>
      <c r="AL113" t="s">
        <v>790</v>
      </c>
    </row>
    <row r="114" spans="1:38" ht="15.75" thickBot="1" x14ac:dyDescent="0.3">
      <c r="A114" s="4" t="s">
        <v>2</v>
      </c>
      <c r="B114" s="7" t="s">
        <v>13</v>
      </c>
      <c r="C114" s="5" t="s">
        <v>95</v>
      </c>
      <c r="D114" s="6" t="s">
        <v>16</v>
      </c>
      <c r="E114" s="6" t="str">
        <f t="shared" ref="E114" si="46">A114&amp;": "&amp;B114&amp;" : "&amp;C114&amp;" : "&amp;D114</f>
        <v>Pesado de Passageiros M3: I : GNL : Geral</v>
      </c>
      <c r="F114" s="6" t="s">
        <v>57</v>
      </c>
      <c r="G114" s="6" t="s">
        <v>96</v>
      </c>
      <c r="H114" s="9">
        <f>IF(G114="MJ",INDEX(Tabela1[Energia (MJ/Qtd.)],MATCH(C114,Tabela1[Fuel],0)),IF(G114="GJ",INDEX(Tabela1[Energia (GJ/Qtd.)2],MATCH(C114,Tabela1[Fuel],0)),"XXX"))</f>
        <v>4.8000000000000001E-2</v>
      </c>
      <c r="I114" s="213">
        <f>I19*'NIR APA vkm'!$M$10+I21*'NIR APA vkm'!$M$11+I23*'NIR APA vkm'!$M$12</f>
        <v>70133.367200150329</v>
      </c>
      <c r="J114" s="213">
        <f>J19*'NIR APA vkm'!$M$10+J21*'NIR APA vkm'!$M$11+J23*'NIR APA vkm'!$M$12</f>
        <v>72410.988706951961</v>
      </c>
      <c r="K114" s="213">
        <f>K19*'NIR APA vkm'!$M$10+K21*'NIR APA vkm'!$M$11+K23*'NIR APA vkm'!$M$12</f>
        <v>69795.628600627751</v>
      </c>
      <c r="L114" s="213">
        <f>L19*'NIR APA vkm'!$M$10+L21*'NIR APA vkm'!$M$11+L23*'NIR APA vkm'!$M$12</f>
        <v>72188.607441144442</v>
      </c>
      <c r="M114" s="213">
        <f>M19*'NIR APA vkm'!$M$10+M21*'NIR APA vkm'!$M$11+M23*'NIR APA vkm'!$M$12</f>
        <v>71078.230986906943</v>
      </c>
      <c r="N114" s="213">
        <f>N19*'NIR APA vkm'!$M$10+N21*'NIR APA vkm'!$M$11+N23*'NIR APA vkm'!$M$12</f>
        <v>72701.876908600927</v>
      </c>
      <c r="O114" s="213">
        <f>O19*'NIR APA vkm'!$M$10+O21*'NIR APA vkm'!$M$11+O23*'NIR APA vkm'!$M$12</f>
        <v>57269.988271335314</v>
      </c>
      <c r="P114" s="213">
        <f>P19*'NIR APA vkm'!$M$10+P21*'NIR APA vkm'!$M$11+P23*'NIR APA vkm'!$M$12</f>
        <v>42.73211082179445</v>
      </c>
      <c r="Q114" s="213">
        <f>Q19*'NIR APA vkm'!$M$10+Q21*'NIR APA vkm'!$M$11+Q23*'NIR APA vkm'!$M$12</f>
        <v>42.751476325593138</v>
      </c>
      <c r="R114" s="213">
        <f>R19*'NIR APA vkm'!$M$10+R21*'NIR APA vkm'!$M$11+R23*'NIR APA vkm'!$M$12</f>
        <v>3366.401625607215</v>
      </c>
      <c r="S114" s="213">
        <f>S19*'NIR APA vkm'!$M$10+S21*'NIR APA vkm'!$M$11+S23*'NIR APA vkm'!$M$12</f>
        <v>3475.727457933694</v>
      </c>
      <c r="T114" s="213">
        <f>T19*'NIR APA vkm'!$M$10+T21*'NIR APA vkm'!$M$11+T23*'NIR APA vkm'!$M$12</f>
        <v>3350.1901728301318</v>
      </c>
      <c r="U114" s="213">
        <f>U19*'NIR APA vkm'!$M$10+U21*'NIR APA vkm'!$M$11+U23*'NIR APA vkm'!$M$12</f>
        <v>3465.0531571749325</v>
      </c>
      <c r="V114" s="213">
        <f>V19*'NIR APA vkm'!$M$10+V21*'NIR APA vkm'!$M$11+V23*'NIR APA vkm'!$M$12</f>
        <v>3411.7550873715331</v>
      </c>
      <c r="W114" s="213">
        <f>W19*'NIR APA vkm'!$M$10+W21*'NIR APA vkm'!$M$11+W23*'NIR APA vkm'!$M$12</f>
        <v>3489.6900916128448</v>
      </c>
      <c r="X114" s="213">
        <f>X19*'NIR APA vkm'!$M$10+X21*'NIR APA vkm'!$M$11+X23*'NIR APA vkm'!$M$12</f>
        <v>2748.9594370240952</v>
      </c>
      <c r="Y114" s="213">
        <f>Y19*'NIR APA vkm'!$M$10+Y21*'NIR APA vkm'!$M$11+Y23*'NIR APA vkm'!$M$12</f>
        <v>2.0511413194461334</v>
      </c>
      <c r="Z114" s="213">
        <f>Z19*'NIR APA vkm'!$M$10+Z21*'NIR APA vkm'!$M$11+Z23*'NIR APA vkm'!$M$12</f>
        <v>2.052070863628471</v>
      </c>
      <c r="AA114" s="218">
        <f>AA19*'NIR APA vkm'!$M$10+AA21*'NIR APA vkm'!$M$11+AA23*'NIR APA vkm'!$M$12</f>
        <v>1640.7562352921429</v>
      </c>
      <c r="AB114" s="218">
        <f>AB19*'NIR APA vkm'!$M$10+AB21*'NIR APA vkm'!$M$11+AB23*'NIR APA vkm'!$M$12</f>
        <v>1693.9938255989164</v>
      </c>
      <c r="AC114" s="218">
        <f>AC19*'NIR APA vkm'!$M$10+AC21*'NIR APA vkm'!$M$11+AC23*'NIR APA vkm'!$M$12</f>
        <v>1632.8561182007857</v>
      </c>
      <c r="AD114" s="218">
        <f>AD19*'NIR APA vkm'!$M$10+AD21*'NIR APA vkm'!$M$11+AD23*'NIR APA vkm'!$M$12</f>
        <v>1688.7893761273542</v>
      </c>
      <c r="AE114" s="218">
        <f>AE19*'NIR APA vkm'!$M$10+AE21*'NIR APA vkm'!$M$11+AE23*'NIR APA vkm'!$M$12</f>
        <v>1662.8596309414925</v>
      </c>
      <c r="AF114" s="218">
        <f>AF19*'NIR APA vkm'!$M$10+AF21*'NIR APA vkm'!$M$11+AF23*'NIR APA vkm'!$M$12</f>
        <v>1700.8045980037509</v>
      </c>
      <c r="AG114" s="218">
        <f>AG19*'NIR APA vkm'!$M$10+AG21*'NIR APA vkm'!$M$11+AG23*'NIR APA vkm'!$M$12</f>
        <v>1339.8889037807171</v>
      </c>
      <c r="AH114" s="218">
        <f>AH19*'NIR APA vkm'!$M$10+AH21*'NIR APA vkm'!$M$11+AH23*'NIR APA vkm'!$M$12</f>
        <v>0.99882908643102708</v>
      </c>
      <c r="AI114" s="218">
        <f>AI19*'NIR APA vkm'!$M$10+AI21*'NIR APA vkm'!$M$11+AI23*'NIR APA vkm'!$M$12</f>
        <v>1</v>
      </c>
      <c r="AJ114" s="213">
        <f>AJ19*'NIR APA vkm'!$M$10+AJ21*'NIR APA vkm'!$M$11+AJ23*'NIR APA vkm'!$M$12</f>
        <v>48.741677443199883</v>
      </c>
      <c r="AK114" t="s">
        <v>424</v>
      </c>
      <c r="AL114" t="s">
        <v>790</v>
      </c>
    </row>
    <row r="115" spans="1:38" ht="15.75" thickBot="1" x14ac:dyDescent="0.3">
      <c r="A115" s="4" t="s">
        <v>2</v>
      </c>
      <c r="B115" s="7" t="s">
        <v>15</v>
      </c>
      <c r="C115" s="5" t="s">
        <v>3</v>
      </c>
      <c r="D115" s="6" t="s">
        <v>16</v>
      </c>
      <c r="E115" s="6" t="str">
        <f t="shared" si="45"/>
        <v>Pesado de Passageiros M3: II : Gasóleo : Geral</v>
      </c>
      <c r="F115" s="6" t="s">
        <v>55</v>
      </c>
      <c r="G115" s="6" t="s">
        <v>96</v>
      </c>
      <c r="H115" s="9">
        <f>IF(G115="MJ",INDEX(Tabela1[Energia (MJ/Qtd.)],MATCH(C115,Tabela1[Fuel],0)),IF(G115="GJ",INDEX(Tabela1[Energia (GJ/Qtd.)2],MATCH(C115,Tabela1[Fuel],0)),"XXX"))</f>
        <v>3.5868000000000004E-2</v>
      </c>
      <c r="I115" s="9">
        <f t="shared" ref="I115:AJ115" si="47">65%*I116+35%*I112</f>
        <v>69811.955791575601</v>
      </c>
      <c r="J115" s="9">
        <f t="shared" si="47"/>
        <v>69926.993114079873</v>
      </c>
      <c r="K115" s="9">
        <f t="shared" si="47"/>
        <v>69798.602440770599</v>
      </c>
      <c r="L115" s="9">
        <f t="shared" si="47"/>
        <v>69919.92932100466</v>
      </c>
      <c r="M115" s="9">
        <f t="shared" si="47"/>
        <v>69848.100414867775</v>
      </c>
      <c r="N115" s="9">
        <f t="shared" si="47"/>
        <v>69934.275127086847</v>
      </c>
      <c r="O115" s="9">
        <f t="shared" si="47"/>
        <v>69288.690966257971</v>
      </c>
      <c r="P115" s="9">
        <f t="shared" si="47"/>
        <v>2.1582987336637354</v>
      </c>
      <c r="Q115" s="9">
        <f t="shared" si="47"/>
        <v>1.6961475847925906</v>
      </c>
      <c r="R115" s="9">
        <f t="shared" si="47"/>
        <v>2504.0152303322338</v>
      </c>
      <c r="S115" s="9">
        <f t="shared" si="47"/>
        <v>2508.1413890158165</v>
      </c>
      <c r="T115" s="9">
        <f t="shared" si="47"/>
        <v>2503.5362723455601</v>
      </c>
      <c r="U115" s="9">
        <f t="shared" si="47"/>
        <v>2507.8880248857954</v>
      </c>
      <c r="V115" s="9">
        <f t="shared" si="47"/>
        <v>2505.3116656804777</v>
      </c>
      <c r="W115" s="9">
        <f t="shared" si="47"/>
        <v>2508.4025802583515</v>
      </c>
      <c r="X115" s="9">
        <f t="shared" si="47"/>
        <v>2485.246767577742</v>
      </c>
      <c r="Y115" s="9">
        <f t="shared" si="47"/>
        <v>7.741385897905087E-2</v>
      </c>
      <c r="Z115" s="9">
        <f t="shared" si="47"/>
        <v>6.0837421571340637E-2</v>
      </c>
      <c r="AA115" s="219">
        <f t="shared" si="47"/>
        <v>889.923718278308</v>
      </c>
      <c r="AB115" s="219">
        <f t="shared" si="47"/>
        <v>891.44379535131975</v>
      </c>
      <c r="AC115" s="219">
        <f t="shared" si="47"/>
        <v>889.76471080390957</v>
      </c>
      <c r="AD115" s="219">
        <f t="shared" si="47"/>
        <v>891.37007674950189</v>
      </c>
      <c r="AE115" s="219">
        <f t="shared" si="47"/>
        <v>890.34682302555143</v>
      </c>
      <c r="AF115" s="219">
        <f t="shared" si="47"/>
        <v>891.50513687315402</v>
      </c>
      <c r="AG115" s="219">
        <f t="shared" si="47"/>
        <v>883.60457858315283</v>
      </c>
      <c r="AH115" s="219">
        <f t="shared" si="47"/>
        <v>2.8519269662507219E-2</v>
      </c>
      <c r="AI115" s="219">
        <f t="shared" si="47"/>
        <v>2.0232425170590759E-2</v>
      </c>
      <c r="AJ115" s="9">
        <f t="shared" si="47"/>
        <v>35.549899781153307</v>
      </c>
      <c r="AK115" t="s">
        <v>424</v>
      </c>
      <c r="AL115" t="s">
        <v>790</v>
      </c>
    </row>
    <row r="116" spans="1:38" ht="15.75" thickBot="1" x14ac:dyDescent="0.3">
      <c r="A116" s="4" t="s">
        <v>2</v>
      </c>
      <c r="B116" s="7" t="s">
        <v>14</v>
      </c>
      <c r="C116" s="5" t="s">
        <v>3</v>
      </c>
      <c r="D116" s="6" t="s">
        <v>16</v>
      </c>
      <c r="E116" s="6" t="str">
        <f t="shared" si="45"/>
        <v>Pesado de Passageiros M3: III : Gasóleo : Geral</v>
      </c>
      <c r="F116" s="6" t="s">
        <v>55</v>
      </c>
      <c r="G116" s="6" t="s">
        <v>96</v>
      </c>
      <c r="H116" s="9">
        <f>IF(G116="MJ",INDEX(Tabela1[Energia (MJ/Qtd.)],MATCH(C116,Tabela1[Fuel],0)),IF(G116="GJ",INDEX(Tabela1[Energia (GJ/Qtd.)2],MATCH(C116,Tabela1[Fuel],0)),"XXX"))</f>
        <v>3.5868000000000004E-2</v>
      </c>
      <c r="I116" s="213">
        <f>SUMPRODUCT(I50:I57,'NIR APA vkm'!$M$16:$M$23)</f>
        <v>69856.760903895323</v>
      </c>
      <c r="J116" s="213">
        <f>SUMPRODUCT(J50:J57,'NIR APA vkm'!$M$16:$M$23)</f>
        <v>69968.528621221689</v>
      </c>
      <c r="K116" s="213">
        <f>SUMPRODUCT(K50:K57,'NIR APA vkm'!$M$16:$M$23)</f>
        <v>69841.282546233357</v>
      </c>
      <c r="L116" s="213">
        <f>SUMPRODUCT(L50:L57,'NIR APA vkm'!$M$16:$M$23)</f>
        <v>69958.847991509407</v>
      </c>
      <c r="M116" s="213">
        <f>SUMPRODUCT(M50:M57,'NIR APA vkm'!$M$16:$M$23)</f>
        <v>69899.704899758071</v>
      </c>
      <c r="N116" s="213">
        <f>SUMPRODUCT(N50:N57,'NIR APA vkm'!$M$16:$M$23)</f>
        <v>69980.612738873198</v>
      </c>
      <c r="O116" s="213">
        <f>SUMPRODUCT(O50:O57,'NIR APA vkm'!$M$16:$M$23)</f>
        <v>69262.901035946372</v>
      </c>
      <c r="P116" s="213">
        <f>SUMPRODUCT(P50:P57,'NIR APA vkm'!$M$16:$M$23)</f>
        <v>2.0969552969298837</v>
      </c>
      <c r="Q116" s="213">
        <f>SUMPRODUCT(Q50:Q57,'NIR APA vkm'!$M$16:$M$23)</f>
        <v>1.9610066489545381</v>
      </c>
      <c r="R116" s="213">
        <f>SUMPRODUCT(R50:R57,'NIR APA vkm'!$M$16:$M$23)</f>
        <v>2505.6223001009175</v>
      </c>
      <c r="S116" s="213">
        <f>SUMPRODUCT(S50:S57,'NIR APA vkm'!$M$16:$M$23)</f>
        <v>2509.6311845859791</v>
      </c>
      <c r="T116" s="213">
        <f>SUMPRODUCT(T50:T57,'NIR APA vkm'!$M$16:$M$23)</f>
        <v>2505.0671223682984</v>
      </c>
      <c r="U116" s="213">
        <f>SUMPRODUCT(U50:U57,'NIR APA vkm'!$M$16:$M$23)</f>
        <v>2509.2839597594602</v>
      </c>
      <c r="V116" s="213">
        <f>SUMPRODUCT(V50:V57,'NIR APA vkm'!$M$16:$M$23)</f>
        <v>2507.1626153445231</v>
      </c>
      <c r="W116" s="213">
        <f>SUMPRODUCT(W50:W57,'NIR APA vkm'!$M$16:$M$23)</f>
        <v>2510.0646177179042</v>
      </c>
      <c r="X116" s="213">
        <f>SUMPRODUCT(X50:X57,'NIR APA vkm'!$M$16:$M$23)</f>
        <v>2484.3217343573251</v>
      </c>
      <c r="Y116" s="213">
        <f>SUMPRODUCT(Y50:Y57,'NIR APA vkm'!$M$16:$M$23)</f>
        <v>7.521359259028107E-2</v>
      </c>
      <c r="Z116" s="213">
        <f>SUMPRODUCT(Z50:Z57,'NIR APA vkm'!$M$16:$M$23)</f>
        <v>7.0337386484701364E-2</v>
      </c>
      <c r="AA116" s="218">
        <f>SUMPRODUCT(AA50:AA57,'NIR APA vkm'!$M$16:$M$23)</f>
        <v>679.10514215268051</v>
      </c>
      <c r="AB116" s="218">
        <f>SUMPRODUCT(AB50:AB57,'NIR APA vkm'!$M$16:$M$23)</f>
        <v>680.17156919789102</v>
      </c>
      <c r="AC116" s="218">
        <f>SUMPRODUCT(AC50:AC57,'NIR APA vkm'!$M$16:$M$23)</f>
        <v>678.95185157356786</v>
      </c>
      <c r="AD116" s="218">
        <f>SUMPRODUCT(AD50:AD57,'NIR APA vkm'!$M$16:$M$23)</f>
        <v>680.07289684102716</v>
      </c>
      <c r="AE116" s="218">
        <f>SUMPRODUCT(AE50:AE57,'NIR APA vkm'!$M$16:$M$23)</f>
        <v>679.53240448108579</v>
      </c>
      <c r="AF116" s="218">
        <f>SUMPRODUCT(AF50:AF57,'NIR APA vkm'!$M$16:$M$23)</f>
        <v>680.29807824716931</v>
      </c>
      <c r="AG116" s="218">
        <f>SUMPRODUCT(AG50:AG57,'NIR APA vkm'!$M$16:$M$23)</f>
        <v>673.24760026140893</v>
      </c>
      <c r="AH116" s="218">
        <f>SUMPRODUCT(AH50:AH57,'NIR APA vkm'!$M$16:$M$23)</f>
        <v>2.0008012105260067E-2</v>
      </c>
      <c r="AI116" s="218">
        <f>SUMPRODUCT(AI50:AI57,'NIR APA vkm'!$M$16:$M$23)</f>
        <v>1.9411422540420872E-2</v>
      </c>
      <c r="AJ116" s="213">
        <f>SUMPRODUCT(AJ50:AJ57,'NIR APA vkm'!$M$16:$M$23)</f>
        <v>27.099128400105361</v>
      </c>
      <c r="AK116" t="s">
        <v>424</v>
      </c>
      <c r="AL116" t="s">
        <v>790</v>
      </c>
    </row>
    <row r="117" spans="1:38" ht="15.75" thickBot="1" x14ac:dyDescent="0.3">
      <c r="A117" s="4" t="s">
        <v>46</v>
      </c>
      <c r="B117" s="7" t="s">
        <v>79</v>
      </c>
      <c r="C117" s="5" t="s">
        <v>3</v>
      </c>
      <c r="D117" s="6" t="s">
        <v>16</v>
      </c>
      <c r="E117" s="6" t="str">
        <f t="shared" ref="E117:E119" si="48">A117&amp;": "&amp;B117&amp;" : "&amp;C117&amp;" : "&amp;D117</f>
        <v>Pesado de Mercadorias N3: &lt;20 t : Gasóleo : Geral</v>
      </c>
      <c r="F117" s="6" t="s">
        <v>55</v>
      </c>
      <c r="G117" s="6" t="s">
        <v>96</v>
      </c>
      <c r="H117" s="9">
        <f>IF(G117="MJ",INDEX(Tabela1[Energia (MJ/Qtd.)],MATCH(C117,Tabela1[Fuel],0)),IF(G117="GJ",INDEX(Tabela1[Energia (GJ/Qtd.)2],MATCH(C117,Tabela1[Fuel],0)),"XXX"))</f>
        <v>3.5868000000000004E-2</v>
      </c>
      <c r="I117" s="213">
        <f>SUMPRODUCT(I74:I81,'NIR APA vkm'!$M$24:$M$31)</f>
        <v>70283.45054708267</v>
      </c>
      <c r="J117" s="213">
        <f>SUMPRODUCT(J74:J81,'NIR APA vkm'!$M$24:$M$31)</f>
        <v>70391.656770414294</v>
      </c>
      <c r="K117" s="213">
        <f>SUMPRODUCT(K74:K81,'NIR APA vkm'!$M$24:$M$31)</f>
        <v>70256.741651506061</v>
      </c>
      <c r="L117" s="213">
        <f>SUMPRODUCT(L74:L81,'NIR APA vkm'!$M$24:$M$31)</f>
        <v>70369.095387628593</v>
      </c>
      <c r="M117" s="213">
        <f>SUMPRODUCT(M74:M81,'NIR APA vkm'!$M$24:$M$31)</f>
        <v>70361.66287009597</v>
      </c>
      <c r="N117" s="213">
        <f>SUMPRODUCT(N74:N81,'NIR APA vkm'!$M$24:$M$31)</f>
        <v>70426.803341867999</v>
      </c>
      <c r="O117" s="213">
        <f>SUMPRODUCT(O74:O81,'NIR APA vkm'!$M$24:$M$31)</f>
        <v>69308.440866992751</v>
      </c>
      <c r="P117" s="213">
        <f>SUMPRODUCT(P74:P81,'NIR APA vkm'!$M$24:$M$31)</f>
        <v>2.0301355221694379</v>
      </c>
      <c r="Q117" s="213">
        <f>SUMPRODUCT(Q74:Q81,'NIR APA vkm'!$M$24:$M$31)</f>
        <v>3.3639886411039797</v>
      </c>
      <c r="R117" s="213">
        <f>SUMPRODUCT(R74:R81,'NIR APA vkm'!$M$24:$M$31)</f>
        <v>2520.9268042227613</v>
      </c>
      <c r="S117" s="213">
        <f>SUMPRODUCT(S74:S81,'NIR APA vkm'!$M$24:$M$31)</f>
        <v>2524.8079450412206</v>
      </c>
      <c r="T117" s="213">
        <f>SUMPRODUCT(T74:T81,'NIR APA vkm'!$M$24:$M$31)</f>
        <v>2519.9688095562192</v>
      </c>
      <c r="U117" s="213">
        <f>SUMPRODUCT(U74:U81,'NIR APA vkm'!$M$24:$M$31)</f>
        <v>2523.9987133634631</v>
      </c>
      <c r="V117" s="213">
        <f>SUMPRODUCT(V74:V81,'NIR APA vkm'!$M$24:$M$31)</f>
        <v>2523.7321238246022</v>
      </c>
      <c r="W117" s="213">
        <f>SUMPRODUCT(W74:W81,'NIR APA vkm'!$M$24:$M$31)</f>
        <v>2526.0685822661217</v>
      </c>
      <c r="X117" s="213">
        <f>SUMPRODUCT(X74:X81,'NIR APA vkm'!$M$24:$M$31)</f>
        <v>2485.9551570172962</v>
      </c>
      <c r="Y117" s="213">
        <f>SUMPRODUCT(Y74:Y81,'NIR APA vkm'!$M$24:$M$31)</f>
        <v>7.2816900909173407E-2</v>
      </c>
      <c r="Z117" s="213">
        <f>SUMPRODUCT(Z74:Z81,'NIR APA vkm'!$M$24:$M$31)</f>
        <v>0.12065954457911757</v>
      </c>
      <c r="AA117" s="218">
        <f>SUMPRODUCT(AA74:AA81,'NIR APA vkm'!$M$24:$M$31)</f>
        <v>535.89336458642219</v>
      </c>
      <c r="AB117" s="218">
        <f>SUMPRODUCT(AB74:AB81,'NIR APA vkm'!$M$24:$M$31)</f>
        <v>536.72524976206125</v>
      </c>
      <c r="AC117" s="218">
        <f>SUMPRODUCT(AC74:AC81,'NIR APA vkm'!$M$24:$M$31)</f>
        <v>535.69037699176852</v>
      </c>
      <c r="AD117" s="218">
        <f>SUMPRODUCT(AD74:AD81,'NIR APA vkm'!$M$24:$M$31)</f>
        <v>536.55444174969261</v>
      </c>
      <c r="AE117" s="218">
        <f>SUMPRODUCT(AE74:AE81,'NIR APA vkm'!$M$24:$M$31)</f>
        <v>536.48731615007182</v>
      </c>
      <c r="AF117" s="218">
        <f>SUMPRODUCT(AF74:AF81,'NIR APA vkm'!$M$24:$M$31)</f>
        <v>536.99075653521936</v>
      </c>
      <c r="AG117" s="218">
        <f>SUMPRODUCT(AG74:AG81,'NIR APA vkm'!$M$24:$M$31)</f>
        <v>528.47769988768107</v>
      </c>
      <c r="AH117" s="218">
        <f>SUMPRODUCT(AH74:AH81,'NIR APA vkm'!$M$24:$M$31)</f>
        <v>1.5607601794356954E-2</v>
      </c>
      <c r="AI117" s="218">
        <f>SUMPRODUCT(AI74:AI81,'NIR APA vkm'!$M$24:$M$31)</f>
        <v>2.5568544354133676E-2</v>
      </c>
      <c r="AJ117" s="213">
        <f>SUMPRODUCT(AJ74:AJ81,'NIR APA vkm'!$M$24:$M$31)</f>
        <v>21.258739108183587</v>
      </c>
      <c r="AK117" t="s">
        <v>424</v>
      </c>
      <c r="AL117" t="s">
        <v>790</v>
      </c>
    </row>
    <row r="118" spans="1:38" ht="15.75" thickBot="1" x14ac:dyDescent="0.3">
      <c r="A118" s="4" t="s">
        <v>46</v>
      </c>
      <c r="B118" s="7" t="s">
        <v>78</v>
      </c>
      <c r="C118" s="5" t="s">
        <v>3</v>
      </c>
      <c r="D118" s="6" t="s">
        <v>16</v>
      </c>
      <c r="E118" s="6" t="str">
        <f t="shared" si="48"/>
        <v>Pesado de Mercadorias N3: 20-28 t : Gasóleo : Geral</v>
      </c>
      <c r="F118" s="6" t="s">
        <v>55</v>
      </c>
      <c r="G118" s="6" t="s">
        <v>96</v>
      </c>
      <c r="H118" s="9">
        <f>IF(G118="MJ",INDEX(Tabela1[Energia (MJ/Qtd.)],MATCH(C118,Tabela1[Fuel],0)),IF(G118="GJ",INDEX(Tabela1[Energia (GJ/Qtd.)2],MATCH(C118,Tabela1[Fuel],0)),"XXX"))</f>
        <v>3.5868000000000004E-2</v>
      </c>
      <c r="I118" s="213">
        <f>SUMPRODUCT(I82:I89,'NIR APA vkm'!$M$32:$M$39)</f>
        <v>69782.462275158628</v>
      </c>
      <c r="J118" s="213">
        <f>SUMPRODUCT(J82:J89,'NIR APA vkm'!$M$32:$M$39)</f>
        <v>69993.578402673695</v>
      </c>
      <c r="K118" s="213">
        <f>SUMPRODUCT(K82:K89,'NIR APA vkm'!$M$32:$M$39)</f>
        <v>69769.422929307853</v>
      </c>
      <c r="L118" s="213">
        <f>SUMPRODUCT(L82:L89,'NIR APA vkm'!$M$32:$M$39)</f>
        <v>69993.514968239091</v>
      </c>
      <c r="M118" s="213">
        <f>SUMPRODUCT(M82:M89,'NIR APA vkm'!$M$32:$M$39)</f>
        <v>69812.961394545535</v>
      </c>
      <c r="N118" s="213">
        <f>SUMPRODUCT(N82:N89,'NIR APA vkm'!$M$32:$M$39)</f>
        <v>69984.008967777918</v>
      </c>
      <c r="O118" s="213">
        <f>SUMPRODUCT(O82:O89,'NIR APA vkm'!$M$32:$M$39)</f>
        <v>69213.468824215015</v>
      </c>
      <c r="P118" s="213">
        <f>SUMPRODUCT(P82:P89,'NIR APA vkm'!$M$32:$M$39)</f>
        <v>3.9609029552544395</v>
      </c>
      <c r="Q118" s="213">
        <f>SUMPRODUCT(Q82:Q89,'NIR APA vkm'!$M$32:$M$39)</f>
        <v>1.6794295182857977</v>
      </c>
      <c r="R118" s="213">
        <f>SUMPRODUCT(R82:R89,'NIR APA vkm'!$M$32:$M$39)</f>
        <v>2502.9573568853898</v>
      </c>
      <c r="S118" s="213">
        <f>SUMPRODUCT(S82:S89,'NIR APA vkm'!$M$32:$M$39)</f>
        <v>2510.5296701470998</v>
      </c>
      <c r="T118" s="213">
        <f>SUMPRODUCT(T82:T89,'NIR APA vkm'!$M$32:$M$39)</f>
        <v>2502.4896616284145</v>
      </c>
      <c r="U118" s="213">
        <f>SUMPRODUCT(U82:U89,'NIR APA vkm'!$M$32:$M$39)</f>
        <v>2510.5273948807994</v>
      </c>
      <c r="V118" s="213">
        <f>SUMPRODUCT(V82:V89,'NIR APA vkm'!$M$32:$M$39)</f>
        <v>2504.0512992995596</v>
      </c>
      <c r="W118" s="213">
        <f>SUMPRODUCT(W82:W89,'NIR APA vkm'!$M$32:$M$39)</f>
        <v>2510.1864336562585</v>
      </c>
      <c r="X118" s="213">
        <f>SUMPRODUCT(X82:X89,'NIR APA vkm'!$M$32:$M$39)</f>
        <v>2482.5486997869439</v>
      </c>
      <c r="Y118" s="213">
        <f>SUMPRODUCT(Y82:Y89,'NIR APA vkm'!$M$32:$M$39)</f>
        <v>0.14206966719906625</v>
      </c>
      <c r="Z118" s="213">
        <f>SUMPRODUCT(Z82:Z89,'NIR APA vkm'!$M$32:$M$39)</f>
        <v>6.0237777961874996E-2</v>
      </c>
      <c r="AA118" s="218">
        <f>SUMPRODUCT(AA82:AA89,'NIR APA vkm'!$M$32:$M$39)</f>
        <v>748.91119698362195</v>
      </c>
      <c r="AB118" s="218">
        <f>SUMPRODUCT(AB82:AB89,'NIR APA vkm'!$M$32:$M$39)</f>
        <v>751.23236295513925</v>
      </c>
      <c r="AC118" s="218">
        <f>SUMPRODUCT(AC82:AC89,'NIR APA vkm'!$M$32:$M$39)</f>
        <v>748.77372564610607</v>
      </c>
      <c r="AD118" s="218">
        <f>SUMPRODUCT(AD82:AD89,'NIR APA vkm'!$M$32:$M$39)</f>
        <v>751.23829493345397</v>
      </c>
      <c r="AE118" s="218">
        <f>SUMPRODUCT(AE82:AE89,'NIR APA vkm'!$M$32:$M$39)</f>
        <v>749.22811166849431</v>
      </c>
      <c r="AF118" s="218">
        <f>SUMPRODUCT(AF82:AF89,'NIR APA vkm'!$M$32:$M$39)</f>
        <v>751.11536390890171</v>
      </c>
      <c r="AG118" s="218">
        <f>SUMPRODUCT(AG82:AG89,'NIR APA vkm'!$M$32:$M$39)</f>
        <v>742.8563570189749</v>
      </c>
      <c r="AH118" s="218">
        <f>SUMPRODUCT(AH82:AH89,'NIR APA vkm'!$M$32:$M$39)</f>
        <v>4.3549080141039934E-2</v>
      </c>
      <c r="AI118" s="218">
        <f>SUMPRODUCT(AI82:AI89,'NIR APA vkm'!$M$32:$M$39)</f>
        <v>1.7728280691252523E-2</v>
      </c>
      <c r="AJ118" s="213">
        <f>SUMPRODUCT(AJ82:AJ89,'NIR APA vkm'!$M$32:$M$39)</f>
        <v>29.924844840391486</v>
      </c>
      <c r="AK118" t="s">
        <v>424</v>
      </c>
      <c r="AL118" t="s">
        <v>790</v>
      </c>
    </row>
    <row r="119" spans="1:38" ht="15.75" thickBot="1" x14ac:dyDescent="0.3">
      <c r="A119" s="4" t="s">
        <v>46</v>
      </c>
      <c r="B119" s="7" t="s">
        <v>80</v>
      </c>
      <c r="C119" s="5" t="s">
        <v>3</v>
      </c>
      <c r="D119" s="6" t="s">
        <v>16</v>
      </c>
      <c r="E119" s="6" t="str">
        <f t="shared" si="48"/>
        <v>Pesado de Mercadorias N3: &gt;28 t : Gasóleo : Geral</v>
      </c>
      <c r="F119" s="6" t="s">
        <v>55</v>
      </c>
      <c r="G119" s="6" t="s">
        <v>96</v>
      </c>
      <c r="H119" s="9">
        <f>IF(G119="MJ",INDEX(Tabela1[Energia (MJ/Qtd.)],MATCH(C119,Tabela1[Fuel],0)),IF(G119="GJ",INDEX(Tabela1[Energia (GJ/Qtd.)2],MATCH(C119,Tabela1[Fuel],0)),"XXX"))</f>
        <v>3.5868000000000004E-2</v>
      </c>
      <c r="I119" s="213">
        <f>SUMPRODUCT(I90:I97,'NIR APA vkm'!$M$40:$M$47)</f>
        <v>69732.733979093842</v>
      </c>
      <c r="J119" s="213">
        <f>SUMPRODUCT(J90:J97,'NIR APA vkm'!$M$40:$M$47)</f>
        <v>69945.012864656004</v>
      </c>
      <c r="K119" s="213">
        <f>SUMPRODUCT(K90:K97,'NIR APA vkm'!$M$40:$M$47)</f>
        <v>69719.620376374412</v>
      </c>
      <c r="L119" s="213">
        <f>SUMPRODUCT(L90:L97,'NIR APA vkm'!$M$40:$M$47)</f>
        <v>69944.946335339817</v>
      </c>
      <c r="M119" s="213">
        <f>SUMPRODUCT(M90:M97,'NIR APA vkm'!$M$40:$M$47)</f>
        <v>69763.408703982437</v>
      </c>
      <c r="N119" s="213">
        <f>SUMPRODUCT(N90:N97,'NIR APA vkm'!$M$40:$M$47)</f>
        <v>69935.395605365789</v>
      </c>
      <c r="O119" s="213">
        <f>SUMPRODUCT(O90:O97,'NIR APA vkm'!$M$40:$M$47)</f>
        <v>69160.52341942348</v>
      </c>
      <c r="P119" s="213">
        <f>SUMPRODUCT(P90:P97,'NIR APA vkm'!$M$40:$M$47)</f>
        <v>3.9827183032302447</v>
      </c>
      <c r="Q119" s="213">
        <f>SUMPRODUCT(Q90:Q97,'NIR APA vkm'!$M$40:$M$47)</f>
        <v>1.6889843187188027</v>
      </c>
      <c r="R119" s="213">
        <f>SUMPRODUCT(R90:R97,'NIR APA vkm'!$M$40:$M$47)</f>
        <v>2501.1737023621381</v>
      </c>
      <c r="S119" s="213">
        <f>SUMPRODUCT(S90:S97,'NIR APA vkm'!$M$40:$M$47)</f>
        <v>2508.7877214294822</v>
      </c>
      <c r="T119" s="213">
        <f>SUMPRODUCT(T90:T97,'NIR APA vkm'!$M$40:$M$47)</f>
        <v>2500.7033436597976</v>
      </c>
      <c r="U119" s="213">
        <f>SUMPRODUCT(U90:U97,'NIR APA vkm'!$M$40:$M$47)</f>
        <v>2508.7853351559688</v>
      </c>
      <c r="V119" s="213">
        <f>SUMPRODUCT(V90:V97,'NIR APA vkm'!$M$40:$M$47)</f>
        <v>2502.2739433944425</v>
      </c>
      <c r="W119" s="213">
        <f>SUMPRODUCT(W90:W97,'NIR APA vkm'!$M$40:$M$47)</f>
        <v>2508.4427695732606</v>
      </c>
      <c r="X119" s="213">
        <f>SUMPRODUCT(X90:X97,'NIR APA vkm'!$M$40:$M$47)</f>
        <v>2480.649654007882</v>
      </c>
      <c r="Y119" s="213">
        <f>SUMPRODUCT(Y90:Y97,'NIR APA vkm'!$M$40:$M$47)</f>
        <v>0.14285214010026243</v>
      </c>
      <c r="Z119" s="213">
        <f>SUMPRODUCT(Z90:Z97,'NIR APA vkm'!$M$40:$M$47)</f>
        <v>6.0580489543806029E-2</v>
      </c>
      <c r="AA119" s="218">
        <f>SUMPRODUCT(AA90:AA97,'NIR APA vkm'!$M$40:$M$47)</f>
        <v>903.76353837477063</v>
      </c>
      <c r="AB119" s="218">
        <f>SUMPRODUCT(AB90:AB97,'NIR APA vkm'!$M$40:$M$47)</f>
        <v>906.62517043491198</v>
      </c>
      <c r="AC119" s="218">
        <f>SUMPRODUCT(AC90:AC97,'NIR APA vkm'!$M$40:$M$47)</f>
        <v>903.60088413296148</v>
      </c>
      <c r="AD119" s="218">
        <f>SUMPRODUCT(AD90:AD97,'NIR APA vkm'!$M$40:$M$47)</f>
        <v>906.64016317876371</v>
      </c>
      <c r="AE119" s="218">
        <f>SUMPRODUCT(AE90:AE97,'NIR APA vkm'!$M$40:$M$47)</f>
        <v>904.13291218707343</v>
      </c>
      <c r="AF119" s="218">
        <f>SUMPRODUCT(AF90:AF97,'NIR APA vkm'!$M$40:$M$47)</f>
        <v>906.46727650687455</v>
      </c>
      <c r="AG119" s="218">
        <f>SUMPRODUCT(AG90:AG97,'NIR APA vkm'!$M$40:$M$47)</f>
        <v>896.53182064914324</v>
      </c>
      <c r="AH119" s="218">
        <f>SUMPRODUCT(AH90:AH97,'NIR APA vkm'!$M$40:$M$47)</f>
        <v>5.3689156850682575E-2</v>
      </c>
      <c r="AI119" s="218">
        <f>SUMPRODUCT(AI90:AI97,'NIR APA vkm'!$M$40:$M$47)</f>
        <v>2.1002894686789269E-2</v>
      </c>
      <c r="AJ119" s="213">
        <f>SUMPRODUCT(AJ90:AJ97,'NIR APA vkm'!$M$40:$M$47)</f>
        <v>36.145379517383006</v>
      </c>
      <c r="AK119" t="s">
        <v>424</v>
      </c>
      <c r="AL119" t="s">
        <v>790</v>
      </c>
    </row>
    <row r="120" spans="1:38" ht="15.75" thickBot="1" x14ac:dyDescent="0.3">
      <c r="A120" s="4" t="s">
        <v>2</v>
      </c>
      <c r="B120" s="7" t="s">
        <v>16</v>
      </c>
      <c r="C120" s="5" t="s">
        <v>95</v>
      </c>
      <c r="D120" s="6" t="s">
        <v>16</v>
      </c>
      <c r="E120" s="6" t="str">
        <f t="shared" si="35"/>
        <v>Pesado de Passageiros M3: Geral : GNL : Geral</v>
      </c>
      <c r="F120" s="6" t="s">
        <v>57</v>
      </c>
      <c r="G120" s="6" t="s">
        <v>96</v>
      </c>
      <c r="H120" s="9">
        <f>IF(G120="MJ",INDEX(Tabela1[Energia (MJ/Qtd.)],MATCH(C120,Tabela1[Fuel],0)),IF(G120="GJ",INDEX(Tabela1[Energia (GJ/Qtd.)2],MATCH(C120,Tabela1[Fuel],0)),"XXX"))</f>
        <v>4.8000000000000001E-2</v>
      </c>
      <c r="I120" s="17">
        <f>I113</f>
        <v>70133.367200150329</v>
      </c>
      <c r="J120" s="17">
        <f t="shared" ref="J120:Z120" si="49">J113</f>
        <v>72410.988706951961</v>
      </c>
      <c r="K120" s="17">
        <f t="shared" si="49"/>
        <v>69795.628600627751</v>
      </c>
      <c r="L120" s="17">
        <f t="shared" si="49"/>
        <v>72188.607441144442</v>
      </c>
      <c r="M120" s="17">
        <f t="shared" si="49"/>
        <v>71078.230986906943</v>
      </c>
      <c r="N120" s="17">
        <f t="shared" si="49"/>
        <v>72701.876908600927</v>
      </c>
      <c r="O120" s="17">
        <f t="shared" si="49"/>
        <v>57269.988271335314</v>
      </c>
      <c r="P120" s="17">
        <f t="shared" si="49"/>
        <v>42.73211082179445</v>
      </c>
      <c r="Q120" s="17">
        <f t="shared" si="49"/>
        <v>42.751476325593138</v>
      </c>
      <c r="R120" s="17">
        <f t="shared" si="49"/>
        <v>2631.5161507371595</v>
      </c>
      <c r="S120" s="17">
        <f t="shared" si="49"/>
        <v>2716.9761538667685</v>
      </c>
      <c r="T120" s="17">
        <f t="shared" si="49"/>
        <v>2618.8436581013143</v>
      </c>
      <c r="U120" s="17">
        <f t="shared" si="49"/>
        <v>2708.632052963645</v>
      </c>
      <c r="V120" s="17">
        <f t="shared" si="49"/>
        <v>2666.9689517983275</v>
      </c>
      <c r="W120" s="17">
        <f t="shared" si="49"/>
        <v>2727.8907446137609</v>
      </c>
      <c r="X120" s="17">
        <f t="shared" si="49"/>
        <v>2148.8615919217355</v>
      </c>
      <c r="Y120" s="17">
        <f t="shared" si="49"/>
        <v>1.6033771694110428</v>
      </c>
      <c r="Z120" s="17">
        <f t="shared" si="49"/>
        <v>1.6041037940983758</v>
      </c>
      <c r="AA120" s="220">
        <f>AA113</f>
        <v>1640.7562352921429</v>
      </c>
      <c r="AB120" s="220">
        <f>AB113</f>
        <v>1693.9938255989164</v>
      </c>
      <c r="AC120" s="220">
        <f t="shared" ref="AC120:AF120" si="50">AC113</f>
        <v>1632.8561182007857</v>
      </c>
      <c r="AD120" s="220">
        <f t="shared" si="50"/>
        <v>1688.7893761273542</v>
      </c>
      <c r="AE120" s="220">
        <f t="shared" si="50"/>
        <v>1662.8596309414925</v>
      </c>
      <c r="AF120" s="220">
        <f t="shared" si="50"/>
        <v>1700.8045980037509</v>
      </c>
      <c r="AG120" s="220">
        <f t="shared" ref="AG120:AJ120" si="51">AG113</f>
        <v>1339.8889037807171</v>
      </c>
      <c r="AH120" s="220">
        <f t="shared" si="51"/>
        <v>0.99882908643102708</v>
      </c>
      <c r="AI120" s="220">
        <f t="shared" si="51"/>
        <v>1</v>
      </c>
      <c r="AJ120" s="17">
        <f t="shared" si="51"/>
        <v>62.353431550722632</v>
      </c>
      <c r="AK120" t="s">
        <v>424</v>
      </c>
      <c r="AL120" t="s">
        <v>790</v>
      </c>
    </row>
    <row r="121" spans="1:38" ht="15.75" thickBot="1" x14ac:dyDescent="0.3">
      <c r="A121" s="4" t="s">
        <v>2</v>
      </c>
      <c r="B121" s="7" t="s">
        <v>16</v>
      </c>
      <c r="C121" s="5" t="s">
        <v>92</v>
      </c>
      <c r="D121" s="6" t="s">
        <v>16</v>
      </c>
      <c r="E121" s="6" t="str">
        <f t="shared" si="35"/>
        <v>Pesado de Passageiros M3: Geral : GNC : Geral</v>
      </c>
      <c r="F121" s="6" t="s">
        <v>56</v>
      </c>
      <c r="G121" s="6" t="s">
        <v>96</v>
      </c>
      <c r="H121" s="9">
        <f>IF(G121="MJ",INDEX(Tabela1[Energia (MJ/Qtd.)],MATCH(C121,Tabela1[Fuel],0)),IF(G121="GJ",INDEX(Tabela1[Energia (GJ/Qtd.)2],MATCH(C121,Tabela1[Fuel],0)),"XXX"))</f>
        <v>3.7521600000000002E-2</v>
      </c>
      <c r="I121" s="17">
        <f>I114</f>
        <v>70133.367200150329</v>
      </c>
      <c r="J121" s="17">
        <f t="shared" ref="J121:Z121" si="52">J114</f>
        <v>72410.988706951961</v>
      </c>
      <c r="K121" s="17">
        <f t="shared" si="52"/>
        <v>69795.628600627751</v>
      </c>
      <c r="L121" s="17">
        <f t="shared" si="52"/>
        <v>72188.607441144442</v>
      </c>
      <c r="M121" s="17">
        <f t="shared" si="52"/>
        <v>71078.230986906943</v>
      </c>
      <c r="N121" s="17">
        <f t="shared" si="52"/>
        <v>72701.876908600927</v>
      </c>
      <c r="O121" s="17">
        <f t="shared" si="52"/>
        <v>57269.988271335314</v>
      </c>
      <c r="P121" s="17">
        <f t="shared" si="52"/>
        <v>42.73211082179445</v>
      </c>
      <c r="Q121" s="17">
        <f t="shared" si="52"/>
        <v>42.751476325593138</v>
      </c>
      <c r="R121" s="17">
        <f t="shared" si="52"/>
        <v>3366.401625607215</v>
      </c>
      <c r="S121" s="17">
        <f t="shared" si="52"/>
        <v>3475.727457933694</v>
      </c>
      <c r="T121" s="17">
        <f t="shared" si="52"/>
        <v>3350.1901728301318</v>
      </c>
      <c r="U121" s="17">
        <f t="shared" si="52"/>
        <v>3465.0531571749325</v>
      </c>
      <c r="V121" s="17">
        <f t="shared" si="52"/>
        <v>3411.7550873715331</v>
      </c>
      <c r="W121" s="17">
        <f t="shared" si="52"/>
        <v>3489.6900916128448</v>
      </c>
      <c r="X121" s="17">
        <f t="shared" si="52"/>
        <v>2748.9594370240952</v>
      </c>
      <c r="Y121" s="17">
        <f t="shared" si="52"/>
        <v>2.0511413194461334</v>
      </c>
      <c r="Z121" s="17">
        <f t="shared" si="52"/>
        <v>2.052070863628471</v>
      </c>
      <c r="AA121" s="220">
        <f>AA114</f>
        <v>1640.7562352921429</v>
      </c>
      <c r="AB121" s="220">
        <f>AB114</f>
        <v>1693.9938255989164</v>
      </c>
      <c r="AC121" s="220">
        <f t="shared" ref="AC121:AF121" si="53">AC114</f>
        <v>1632.8561182007857</v>
      </c>
      <c r="AD121" s="220">
        <f t="shared" si="53"/>
        <v>1688.7893761273542</v>
      </c>
      <c r="AE121" s="220">
        <f t="shared" si="53"/>
        <v>1662.8596309414925</v>
      </c>
      <c r="AF121" s="220">
        <f t="shared" si="53"/>
        <v>1700.8045980037509</v>
      </c>
      <c r="AG121" s="220">
        <f t="shared" ref="AG121:AJ121" si="54">AG114</f>
        <v>1339.8889037807171</v>
      </c>
      <c r="AH121" s="220">
        <f t="shared" si="54"/>
        <v>0.99882908643102708</v>
      </c>
      <c r="AI121" s="220">
        <f t="shared" si="54"/>
        <v>1</v>
      </c>
      <c r="AJ121" s="17">
        <f t="shared" si="54"/>
        <v>48.741677443199883</v>
      </c>
      <c r="AK121" t="s">
        <v>424</v>
      </c>
      <c r="AL121" t="s">
        <v>790</v>
      </c>
    </row>
    <row r="122" spans="1:38" ht="15.75" thickBot="1" x14ac:dyDescent="0.3">
      <c r="A122" s="4" t="s">
        <v>46</v>
      </c>
      <c r="B122" s="7" t="s">
        <v>16</v>
      </c>
      <c r="C122" s="5" t="s">
        <v>3</v>
      </c>
      <c r="D122" s="6" t="s">
        <v>8</v>
      </c>
      <c r="E122" s="6" t="str">
        <f t="shared" si="35"/>
        <v>Pesado de Mercadorias N3: Geral : Gasóleo : E0</v>
      </c>
      <c r="F122" s="6" t="s">
        <v>55</v>
      </c>
      <c r="G122" s="6" t="s">
        <v>96</v>
      </c>
      <c r="H122" s="9">
        <f>IF(G122="MJ",INDEX(Tabela1[Energia (MJ/Qtd.)],MATCH(C122,Tabela1[Fuel],0)),IF(G122="GJ",INDEX(Tabela1[Energia (GJ/Qtd.)2],MATCH(C122,Tabela1[Fuel],0)),"XXX"))</f>
        <v>3.5868000000000004E-2</v>
      </c>
      <c r="I122" s="216">
        <f>(I74*'NIR APA vkm'!$L24+I82*'NIR APA vkm'!$L32+I90*'NIR APA vkm'!$L40)/('NIR APA vkm'!$L24+'NIR APA vkm'!$L32+'NIR APA vkm'!$L40)</f>
        <v>70231.036513239902</v>
      </c>
      <c r="J122" s="216">
        <f>(J74*'NIR APA vkm'!$L24+J82*'NIR APA vkm'!$L32+J90*'NIR APA vkm'!$L40)/('NIR APA vkm'!$L24+'NIR APA vkm'!$L32+'NIR APA vkm'!$L40)</f>
        <v>70697.507021634432</v>
      </c>
      <c r="K122" s="216">
        <f>(K74*'NIR APA vkm'!$L24+K82*'NIR APA vkm'!$L32+K90*'NIR APA vkm'!$L40)/('NIR APA vkm'!$L24+'NIR APA vkm'!$L32+'NIR APA vkm'!$L40)</f>
        <v>70204.893772916694</v>
      </c>
      <c r="L122" s="216">
        <f>(L74*'NIR APA vkm'!$L24+L82*'NIR APA vkm'!$L32+L90*'NIR APA vkm'!$L40)/('NIR APA vkm'!$L24+'NIR APA vkm'!$L32+'NIR APA vkm'!$L40)</f>
        <v>70700.368671410703</v>
      </c>
      <c r="M122" s="216">
        <f>(M74*'NIR APA vkm'!$L24+M82*'NIR APA vkm'!$L32+M90*'NIR APA vkm'!$L40)/('NIR APA vkm'!$L24+'NIR APA vkm'!$L32+'NIR APA vkm'!$L40)</f>
        <v>70290.087315202647</v>
      </c>
      <c r="N122" s="216">
        <f>(N74*'NIR APA vkm'!$L24+N82*'NIR APA vkm'!$L32+N90*'NIR APA vkm'!$L40)/('NIR APA vkm'!$L24+'NIR APA vkm'!$L32+'NIR APA vkm'!$L40)</f>
        <v>70671.02637515984</v>
      </c>
      <c r="O122" s="216">
        <f>(O74*'NIR APA vkm'!$L24+O82*'NIR APA vkm'!$L32+O90*'NIR APA vkm'!$L40)/('NIR APA vkm'!$L24+'NIR APA vkm'!$L32+'NIR APA vkm'!$L40)</f>
        <v>69064.875015768383</v>
      </c>
      <c r="P122" s="216">
        <f>(P74*'NIR APA vkm'!$L24+P82*'NIR APA vkm'!$L32+P90*'NIR APA vkm'!$L40)/('NIR APA vkm'!$L24+'NIR APA vkm'!$L32+'NIR APA vkm'!$L40)</f>
        <v>8.7517919023365316</v>
      </c>
      <c r="Q122" s="216">
        <f>(Q74*'NIR APA vkm'!$L24+Q82*'NIR APA vkm'!$L32+Q90*'NIR APA vkm'!$L40)/('NIR APA vkm'!$L24+'NIR APA vkm'!$L32+'NIR APA vkm'!$L40)</f>
        <v>3.3772399391806949</v>
      </c>
      <c r="R122" s="216">
        <f>(R74*'NIR APA vkm'!$L24+R82*'NIR APA vkm'!$L32+R90*'NIR APA vkm'!$L40)/('NIR APA vkm'!$L24+'NIR APA vkm'!$L32+'NIR APA vkm'!$L40)</f>
        <v>2519.0468176568893</v>
      </c>
      <c r="S122" s="216">
        <f>(S74*'NIR APA vkm'!$L24+S82*'NIR APA vkm'!$L32+S90*'NIR APA vkm'!$L40)/('NIR APA vkm'!$L24+'NIR APA vkm'!$L32+'NIR APA vkm'!$L40)</f>
        <v>2535.7781818519848</v>
      </c>
      <c r="T122" s="216">
        <f>(T74*'NIR APA vkm'!$L24+T82*'NIR APA vkm'!$L32+T90*'NIR APA vkm'!$L40)/('NIR APA vkm'!$L24+'NIR APA vkm'!$L32+'NIR APA vkm'!$L40)</f>
        <v>2518.1091298469764</v>
      </c>
      <c r="U122" s="216">
        <f>(U74*'NIR APA vkm'!$L24+U82*'NIR APA vkm'!$L32+U90*'NIR APA vkm'!$L40)/('NIR APA vkm'!$L24+'NIR APA vkm'!$L32+'NIR APA vkm'!$L40)</f>
        <v>2535.8808235061592</v>
      </c>
      <c r="V122" s="216">
        <f>(V74*'NIR APA vkm'!$L24+V82*'NIR APA vkm'!$L32+V90*'NIR APA vkm'!$L40)/('NIR APA vkm'!$L24+'NIR APA vkm'!$L32+'NIR APA vkm'!$L40)</f>
        <v>2521.1648518216884</v>
      </c>
      <c r="W122" s="216">
        <f>(W74*'NIR APA vkm'!$L24+W82*'NIR APA vkm'!$L32+W90*'NIR APA vkm'!$L40)/('NIR APA vkm'!$L24+'NIR APA vkm'!$L32+'NIR APA vkm'!$L40)</f>
        <v>2534.8283740242332</v>
      </c>
      <c r="X122" s="216">
        <f>(X74*'NIR APA vkm'!$L24+X82*'NIR APA vkm'!$L32+X90*'NIR APA vkm'!$L40)/('NIR APA vkm'!$L24+'NIR APA vkm'!$L32+'NIR APA vkm'!$L40)</f>
        <v>2477.218937065581</v>
      </c>
      <c r="Y122" s="216">
        <f>(Y74*'NIR APA vkm'!$L24+Y82*'NIR APA vkm'!$L32+Y90*'NIR APA vkm'!$L40)/('NIR APA vkm'!$L24+'NIR APA vkm'!$L32+'NIR APA vkm'!$L40)</f>
        <v>0.31390927195300677</v>
      </c>
      <c r="Z122" s="216">
        <f>(Z74*'NIR APA vkm'!$L24+Z82*'NIR APA vkm'!$L32+Z90*'NIR APA vkm'!$L40)/('NIR APA vkm'!$L24+'NIR APA vkm'!$L32+'NIR APA vkm'!$L40)</f>
        <v>0.12113484213853318</v>
      </c>
      <c r="AA122" s="216">
        <f>(AA74*'NIR APA vkm'!$L24+AA82*'NIR APA vkm'!$L32+AA90*'NIR APA vkm'!$L40)/('NIR APA vkm'!$L24+'NIR APA vkm'!$L32+'NIR APA vkm'!$L40)</f>
        <v>649.98137661894725</v>
      </c>
      <c r="AB122" s="216">
        <f>(AB74*'NIR APA vkm'!$L24+AB82*'NIR APA vkm'!$L32+AB90*'NIR APA vkm'!$L40)/('NIR APA vkm'!$L24+'NIR APA vkm'!$L32+'NIR APA vkm'!$L40)</f>
        <v>654.26126463072433</v>
      </c>
      <c r="AC122" s="216">
        <f>(AC74*'NIR APA vkm'!$L24+AC82*'NIR APA vkm'!$L32+AC90*'NIR APA vkm'!$L40)/('NIR APA vkm'!$L24+'NIR APA vkm'!$L32+'NIR APA vkm'!$L40)</f>
        <v>649.74940642759975</v>
      </c>
      <c r="AD122" s="216">
        <f>(AD74*'NIR APA vkm'!$L24+AD82*'NIR APA vkm'!$L32+AD90*'NIR APA vkm'!$L40)/('NIR APA vkm'!$L24+'NIR APA vkm'!$L32+'NIR APA vkm'!$L40)</f>
        <v>654.29639735951889</v>
      </c>
      <c r="AE122" s="216">
        <f>(AE74*'NIR APA vkm'!$L24+AE82*'NIR APA vkm'!$L32+AE90*'NIR APA vkm'!$L40)/('NIR APA vkm'!$L24+'NIR APA vkm'!$L32+'NIR APA vkm'!$L40)</f>
        <v>650.49851216802506</v>
      </c>
      <c r="AF122" s="216">
        <f>(AF74*'NIR APA vkm'!$L24+AF82*'NIR APA vkm'!$L32+AF90*'NIR APA vkm'!$L40)/('NIR APA vkm'!$L24+'NIR APA vkm'!$L32+'NIR APA vkm'!$L40)</f>
        <v>654.00252223469522</v>
      </c>
      <c r="AG122" s="216">
        <f>(AG74*'NIR APA vkm'!$L24+AG82*'NIR APA vkm'!$L32+AG90*'NIR APA vkm'!$L40)/('NIR APA vkm'!$L24+'NIR APA vkm'!$L32+'NIR APA vkm'!$L40)</f>
        <v>639.55106000490252</v>
      </c>
      <c r="AH122" s="216">
        <f>(AH74*'NIR APA vkm'!$L24+AH82*'NIR APA vkm'!$L32+AH90*'NIR APA vkm'!$L40)/('NIR APA vkm'!$L24+'NIR APA vkm'!$L32+'NIR APA vkm'!$L40)</f>
        <v>8.0298086524898782E-2</v>
      </c>
      <c r="AI122" s="216">
        <f>(AI74*'NIR APA vkm'!$L24+AI82*'NIR APA vkm'!$L32+AI90*'NIR APA vkm'!$L40)/('NIR APA vkm'!$L24+'NIR APA vkm'!$L32+'NIR APA vkm'!$L40)</f>
        <v>3.0000000000000002E-2</v>
      </c>
      <c r="AJ122" s="216">
        <f>(AJ74*'NIR APA vkm'!$L24+AJ82*'NIR APA vkm'!$L32+AJ90*'NIR APA vkm'!$L40)/('NIR APA vkm'!$L24+'NIR APA vkm'!$L32+'NIR APA vkm'!$L40)</f>
        <v>25.818157283985595</v>
      </c>
      <c r="AK122" t="s">
        <v>424</v>
      </c>
      <c r="AL122" t="s">
        <v>790</v>
      </c>
    </row>
    <row r="123" spans="1:38" ht="15.75" thickBot="1" x14ac:dyDescent="0.3">
      <c r="A123" s="4" t="s">
        <v>46</v>
      </c>
      <c r="B123" s="7" t="s">
        <v>16</v>
      </c>
      <c r="C123" s="5" t="s">
        <v>3</v>
      </c>
      <c r="D123" s="6" t="s">
        <v>7</v>
      </c>
      <c r="E123" s="6" t="str">
        <f t="shared" si="35"/>
        <v>Pesado de Mercadorias N3: Geral : Gasóleo : E1</v>
      </c>
      <c r="F123" s="6" t="s">
        <v>55</v>
      </c>
      <c r="G123" s="6" t="s">
        <v>96</v>
      </c>
      <c r="H123" s="9">
        <f>IF(G123="MJ",INDEX(Tabela1[Energia (MJ/Qtd.)],MATCH(C123,Tabela1[Fuel],0)),IF(G123="GJ",INDEX(Tabela1[Energia (GJ/Qtd.)2],MATCH(C123,Tabela1[Fuel],0)),"XXX"))</f>
        <v>3.5868000000000004E-2</v>
      </c>
      <c r="I123" s="216">
        <f>(I75*'NIR APA vkm'!$L25+I83*'NIR APA vkm'!$L33+I91*'NIR APA vkm'!$L41)/('NIR APA vkm'!$L25+'NIR APA vkm'!$L33+'NIR APA vkm'!$L41)</f>
        <v>69613.48500663611</v>
      </c>
      <c r="J123" s="216">
        <f>(J75*'NIR APA vkm'!$L25+J83*'NIR APA vkm'!$L33+J91*'NIR APA vkm'!$L41)/('NIR APA vkm'!$L25+'NIR APA vkm'!$L33+'NIR APA vkm'!$L41)</f>
        <v>70152.214349349466</v>
      </c>
      <c r="K123" s="216">
        <f>(K75*'NIR APA vkm'!$L25+K83*'NIR APA vkm'!$L33+K91*'NIR APA vkm'!$L41)/('NIR APA vkm'!$L25+'NIR APA vkm'!$L33+'NIR APA vkm'!$L41)</f>
        <v>69606.869624645085</v>
      </c>
      <c r="L123" s="216">
        <f>(L75*'NIR APA vkm'!$L25+L83*'NIR APA vkm'!$L33+L91*'NIR APA vkm'!$L41)/('NIR APA vkm'!$L25+'NIR APA vkm'!$L33+'NIR APA vkm'!$L41)</f>
        <v>70182.04342268192</v>
      </c>
      <c r="M123" s="216">
        <f>(M75*'NIR APA vkm'!$L25+M83*'NIR APA vkm'!$L33+M91*'NIR APA vkm'!$L41)/('NIR APA vkm'!$L25+'NIR APA vkm'!$L33+'NIR APA vkm'!$L41)</f>
        <v>69608.004938880142</v>
      </c>
      <c r="N123" s="216">
        <f>(N75*'NIR APA vkm'!$L25+N83*'NIR APA vkm'!$L33+N91*'NIR APA vkm'!$L41)/('NIR APA vkm'!$L25+'NIR APA vkm'!$L33+'NIR APA vkm'!$L41)</f>
        <v>70074.477682104101</v>
      </c>
      <c r="O123" s="216">
        <f>(O75*'NIR APA vkm'!$L25+O83*'NIR APA vkm'!$L33+O91*'NIR APA vkm'!$L41)/('NIR APA vkm'!$L25+'NIR APA vkm'!$L33+'NIR APA vkm'!$L41)</f>
        <v>69071.244241714026</v>
      </c>
      <c r="P123" s="216">
        <f>(P75*'NIR APA vkm'!$L25+P83*'NIR APA vkm'!$L33+P91*'NIR APA vkm'!$L41)/('NIR APA vkm'!$L25+'NIR APA vkm'!$L33+'NIR APA vkm'!$L41)</f>
        <v>10.107492358599616</v>
      </c>
      <c r="Q123" s="216">
        <f>(Q75*'NIR APA vkm'!$L25+Q83*'NIR APA vkm'!$L33+Q91*'NIR APA vkm'!$L41)/('NIR APA vkm'!$L25+'NIR APA vkm'!$L33+'NIR APA vkm'!$L41)</f>
        <v>0.95326640335955426</v>
      </c>
      <c r="R123" s="216">
        <f>(R75*'NIR APA vkm'!$L25+R83*'NIR APA vkm'!$L33+R91*'NIR APA vkm'!$L41)/('NIR APA vkm'!$L25+'NIR APA vkm'!$L33+'NIR APA vkm'!$L41)</f>
        <v>2496.896480218024</v>
      </c>
      <c r="S123" s="216">
        <f>(S75*'NIR APA vkm'!$L25+S83*'NIR APA vkm'!$L33+S91*'NIR APA vkm'!$L41)/('NIR APA vkm'!$L25+'NIR APA vkm'!$L33+'NIR APA vkm'!$L41)</f>
        <v>2516.2196242824671</v>
      </c>
      <c r="T123" s="216">
        <f>(T75*'NIR APA vkm'!$L25+T83*'NIR APA vkm'!$L33+T91*'NIR APA vkm'!$L41)/('NIR APA vkm'!$L25+'NIR APA vkm'!$L33+'NIR APA vkm'!$L41)</f>
        <v>2496.6591996967704</v>
      </c>
      <c r="U123" s="216">
        <f>(U75*'NIR APA vkm'!$L25+U83*'NIR APA vkm'!$L33+U91*'NIR APA vkm'!$L41)/('NIR APA vkm'!$L25+'NIR APA vkm'!$L33+'NIR APA vkm'!$L41)</f>
        <v>2517.2895334847553</v>
      </c>
      <c r="V123" s="216">
        <f>(V75*'NIR APA vkm'!$L25+V83*'NIR APA vkm'!$L33+V91*'NIR APA vkm'!$L41)/('NIR APA vkm'!$L25+'NIR APA vkm'!$L33+'NIR APA vkm'!$L41)</f>
        <v>2496.6999211477541</v>
      </c>
      <c r="W123" s="216">
        <f>(W75*'NIR APA vkm'!$L25+W83*'NIR APA vkm'!$L33+W91*'NIR APA vkm'!$L41)/('NIR APA vkm'!$L25+'NIR APA vkm'!$L33+'NIR APA vkm'!$L41)</f>
        <v>2513.4313655017099</v>
      </c>
      <c r="X123" s="216">
        <f>(X75*'NIR APA vkm'!$L25+X83*'NIR APA vkm'!$L33+X91*'NIR APA vkm'!$L41)/('NIR APA vkm'!$L25+'NIR APA vkm'!$L33+'NIR APA vkm'!$L41)</f>
        <v>2477.4473884617992</v>
      </c>
      <c r="Y123" s="216">
        <f>(Y75*'NIR APA vkm'!$L25+Y83*'NIR APA vkm'!$L33+Y91*'NIR APA vkm'!$L41)/('NIR APA vkm'!$L25+'NIR APA vkm'!$L33+'NIR APA vkm'!$L41)</f>
        <v>0.36253553591825116</v>
      </c>
      <c r="Z123" s="216">
        <f>(Z75*'NIR APA vkm'!$L25+Z83*'NIR APA vkm'!$L33+Z91*'NIR APA vkm'!$L41)/('NIR APA vkm'!$L25+'NIR APA vkm'!$L33+'NIR APA vkm'!$L41)</f>
        <v>3.4191759355700499E-2</v>
      </c>
      <c r="AA123" s="216">
        <f>(AA75*'NIR APA vkm'!$L25+AA83*'NIR APA vkm'!$L33+AA91*'NIR APA vkm'!$L41)/('NIR APA vkm'!$L25+'NIR APA vkm'!$L33+'NIR APA vkm'!$L41)</f>
        <v>623.16819211906784</v>
      </c>
      <c r="AB123" s="216">
        <f>(AB75*'NIR APA vkm'!$L25+AB83*'NIR APA vkm'!$L33+AB91*'NIR APA vkm'!$L41)/('NIR APA vkm'!$L25+'NIR APA vkm'!$L33+'NIR APA vkm'!$L41)</f>
        <v>627.85930710961941</v>
      </c>
      <c r="AC123" s="216">
        <f>(AC75*'NIR APA vkm'!$L25+AC83*'NIR APA vkm'!$L33+AC91*'NIR APA vkm'!$L41)/('NIR APA vkm'!$L25+'NIR APA vkm'!$L33+'NIR APA vkm'!$L41)</f>
        <v>623.10869107549286</v>
      </c>
      <c r="AD123" s="216">
        <f>(AD75*'NIR APA vkm'!$L25+AD83*'NIR APA vkm'!$L33+AD91*'NIR APA vkm'!$L41)/('NIR APA vkm'!$L25+'NIR APA vkm'!$L33+'NIR APA vkm'!$L41)</f>
        <v>628.11691790140708</v>
      </c>
      <c r="AE123" s="216">
        <f>(AE75*'NIR APA vkm'!$L25+AE83*'NIR APA vkm'!$L33+AE91*'NIR APA vkm'!$L41)/('NIR APA vkm'!$L25+'NIR APA vkm'!$L33+'NIR APA vkm'!$L41)</f>
        <v>623.12639817033289</v>
      </c>
      <c r="AF123" s="216">
        <f>(AF75*'NIR APA vkm'!$L25+AF83*'NIR APA vkm'!$L33+AF91*'NIR APA vkm'!$L41)/('NIR APA vkm'!$L25+'NIR APA vkm'!$L33+'NIR APA vkm'!$L41)</f>
        <v>627.18618846665777</v>
      </c>
      <c r="AG123" s="216">
        <f>(AG75*'NIR APA vkm'!$L25+AG83*'NIR APA vkm'!$L33+AG91*'NIR APA vkm'!$L41)/('NIR APA vkm'!$L25+'NIR APA vkm'!$L33+'NIR APA vkm'!$L41)</f>
        <v>618.38179896688598</v>
      </c>
      <c r="AH123" s="216">
        <f>(AH75*'NIR APA vkm'!$L25+AH83*'NIR APA vkm'!$L33+AH91*'NIR APA vkm'!$L41)/('NIR APA vkm'!$L25+'NIR APA vkm'!$L33+'NIR APA vkm'!$L41)</f>
        <v>8.8013414456876965E-2</v>
      </c>
      <c r="AI123" s="216">
        <f>(AI75*'NIR APA vkm'!$L25+AI83*'NIR APA vkm'!$L33+AI91*'NIR APA vkm'!$L41)/('NIR APA vkm'!$L25+'NIR APA vkm'!$L33+'NIR APA vkm'!$L41)</f>
        <v>8.5377981276006671E-3</v>
      </c>
      <c r="AJ123" s="216">
        <f>(AJ75*'NIR APA vkm'!$L25+AJ83*'NIR APA vkm'!$L33+AJ91*'NIR APA vkm'!$L41)/('NIR APA vkm'!$L25+'NIR APA vkm'!$L33+'NIR APA vkm'!$L41)</f>
        <v>24.96168396845983</v>
      </c>
      <c r="AK123" t="s">
        <v>424</v>
      </c>
      <c r="AL123" t="s">
        <v>790</v>
      </c>
    </row>
    <row r="124" spans="1:38" ht="15.75" thickBot="1" x14ac:dyDescent="0.3">
      <c r="A124" s="4" t="s">
        <v>46</v>
      </c>
      <c r="B124" s="7" t="s">
        <v>16</v>
      </c>
      <c r="C124" s="5" t="s">
        <v>3</v>
      </c>
      <c r="D124" s="6" t="s">
        <v>9</v>
      </c>
      <c r="E124" s="6" t="str">
        <f t="shared" si="35"/>
        <v>Pesado de Mercadorias N3: Geral : Gasóleo : E2</v>
      </c>
      <c r="F124" s="6" t="s">
        <v>55</v>
      </c>
      <c r="G124" s="6" t="s">
        <v>96</v>
      </c>
      <c r="H124" s="9">
        <f>IF(G124="MJ",INDEX(Tabela1[Energia (MJ/Qtd.)],MATCH(C124,Tabela1[Fuel],0)),IF(G124="GJ",INDEX(Tabela1[Energia (GJ/Qtd.)2],MATCH(C124,Tabela1[Fuel],0)),"XXX"))</f>
        <v>3.5868000000000004E-2</v>
      </c>
      <c r="I124" s="216">
        <f>(I76*'NIR APA vkm'!$L26+I84*'NIR APA vkm'!$L34+I92*'NIR APA vkm'!$L42)/('NIR APA vkm'!$L26+'NIR APA vkm'!$L34+'NIR APA vkm'!$L42)</f>
        <v>69540.637188743116</v>
      </c>
      <c r="J124" s="216">
        <f>(J76*'NIR APA vkm'!$L26+J84*'NIR APA vkm'!$L34+J92*'NIR APA vkm'!$L42)/('NIR APA vkm'!$L26+'NIR APA vkm'!$L34+'NIR APA vkm'!$L42)</f>
        <v>69956.73729011204</v>
      </c>
      <c r="K124" s="216">
        <f>(K76*'NIR APA vkm'!$L26+K84*'NIR APA vkm'!$L34+K92*'NIR APA vkm'!$L42)/('NIR APA vkm'!$L26+'NIR APA vkm'!$L34+'NIR APA vkm'!$L42)</f>
        <v>69534.0394513184</v>
      </c>
      <c r="L124" s="216">
        <f>(L76*'NIR APA vkm'!$L26+L84*'NIR APA vkm'!$L34+L92*'NIR APA vkm'!$L42)/('NIR APA vkm'!$L26+'NIR APA vkm'!$L34+'NIR APA vkm'!$L42)</f>
        <v>69978.102248713694</v>
      </c>
      <c r="M124" s="216">
        <f>(M76*'NIR APA vkm'!$L26+M84*'NIR APA vkm'!$L34+M92*'NIR APA vkm'!$L42)/('NIR APA vkm'!$L26+'NIR APA vkm'!$L34+'NIR APA vkm'!$L42)</f>
        <v>69541.055136726471</v>
      </c>
      <c r="N124" s="216">
        <f>(N76*'NIR APA vkm'!$L26+N84*'NIR APA vkm'!$L34+N92*'NIR APA vkm'!$L42)/('NIR APA vkm'!$L26+'NIR APA vkm'!$L34+'NIR APA vkm'!$L42)</f>
        <v>69899.67195985229</v>
      </c>
      <c r="O124" s="216">
        <f>(O76*'NIR APA vkm'!$L26+O84*'NIR APA vkm'!$L34+O92*'NIR APA vkm'!$L42)/('NIR APA vkm'!$L26+'NIR APA vkm'!$L34+'NIR APA vkm'!$L42)</f>
        <v>69071.040348015493</v>
      </c>
      <c r="P124" s="216">
        <f>(P76*'NIR APA vkm'!$L26+P84*'NIR APA vkm'!$L34+P92*'NIR APA vkm'!$L42)/('NIR APA vkm'!$L26+'NIR APA vkm'!$L34+'NIR APA vkm'!$L42)</f>
        <v>7.806756123244293</v>
      </c>
      <c r="Q124" s="216">
        <f>(Q76*'NIR APA vkm'!$L26+Q84*'NIR APA vkm'!$L34+Q92*'NIR APA vkm'!$L42)/('NIR APA vkm'!$L26+'NIR APA vkm'!$L34+'NIR APA vkm'!$L42)</f>
        <v>0.92230162963046658</v>
      </c>
      <c r="R124" s="216">
        <f>(R76*'NIR APA vkm'!$L26+R84*'NIR APA vkm'!$L34+R92*'NIR APA vkm'!$L42)/('NIR APA vkm'!$L26+'NIR APA vkm'!$L34+'NIR APA vkm'!$L42)</f>
        <v>2494.2835746858386</v>
      </c>
      <c r="S124" s="216">
        <f>(S76*'NIR APA vkm'!$L26+S84*'NIR APA vkm'!$L34+S92*'NIR APA vkm'!$L42)/('NIR APA vkm'!$L26+'NIR APA vkm'!$L34+'NIR APA vkm'!$L42)</f>
        <v>2509.2082531217388</v>
      </c>
      <c r="T124" s="216">
        <f>(T76*'NIR APA vkm'!$L26+T84*'NIR APA vkm'!$L34+T92*'NIR APA vkm'!$L42)/('NIR APA vkm'!$L26+'NIR APA vkm'!$L34+'NIR APA vkm'!$L42)</f>
        <v>2494.0469270398889</v>
      </c>
      <c r="U124" s="216">
        <f>(U76*'NIR APA vkm'!$L26+U84*'NIR APA vkm'!$L34+U92*'NIR APA vkm'!$L42)/('NIR APA vkm'!$L26+'NIR APA vkm'!$L34+'NIR APA vkm'!$L42)</f>
        <v>2509.9745714568626</v>
      </c>
      <c r="V124" s="216">
        <f>(V76*'NIR APA vkm'!$L26+V84*'NIR APA vkm'!$L34+V92*'NIR APA vkm'!$L42)/('NIR APA vkm'!$L26+'NIR APA vkm'!$L34+'NIR APA vkm'!$L42)</f>
        <v>2494.2985656441051</v>
      </c>
      <c r="W124" s="216">
        <f>(W76*'NIR APA vkm'!$L26+W84*'NIR APA vkm'!$L34+W92*'NIR APA vkm'!$L42)/('NIR APA vkm'!$L26+'NIR APA vkm'!$L34+'NIR APA vkm'!$L42)</f>
        <v>2507.1614338559821</v>
      </c>
      <c r="X124" s="216">
        <f>(X76*'NIR APA vkm'!$L26+X84*'NIR APA vkm'!$L34+X92*'NIR APA vkm'!$L42)/('NIR APA vkm'!$L26+'NIR APA vkm'!$L34+'NIR APA vkm'!$L42)</f>
        <v>2477.4400752026199</v>
      </c>
      <c r="Y124" s="216">
        <f>(Y76*'NIR APA vkm'!$L26+Y84*'NIR APA vkm'!$L34+Y92*'NIR APA vkm'!$L42)/('NIR APA vkm'!$L26+'NIR APA vkm'!$L34+'NIR APA vkm'!$L42)</f>
        <v>0.28001272862852633</v>
      </c>
      <c r="Z124" s="216">
        <f>(Z76*'NIR APA vkm'!$L26+Z84*'NIR APA vkm'!$L34+Z92*'NIR APA vkm'!$L42)/('NIR APA vkm'!$L26+'NIR APA vkm'!$L34+'NIR APA vkm'!$L42)</f>
        <v>3.3081114851585582E-2</v>
      </c>
      <c r="AA124" s="216">
        <f>(AA76*'NIR APA vkm'!$L26+AA84*'NIR APA vkm'!$L34+AA92*'NIR APA vkm'!$L42)/('NIR APA vkm'!$L26+'NIR APA vkm'!$L34+'NIR APA vkm'!$L42)</f>
        <v>612.79885520063146</v>
      </c>
      <c r="AB124" s="216">
        <f>(AB76*'NIR APA vkm'!$L26+AB84*'NIR APA vkm'!$L34+AB92*'NIR APA vkm'!$L42)/('NIR APA vkm'!$L26+'NIR APA vkm'!$L34+'NIR APA vkm'!$L42)</f>
        <v>616.36332838042301</v>
      </c>
      <c r="AC124" s="216">
        <f>(AC76*'NIR APA vkm'!$L26+AC84*'NIR APA vkm'!$L34+AC92*'NIR APA vkm'!$L42)/('NIR APA vkm'!$L26+'NIR APA vkm'!$L34+'NIR APA vkm'!$L42)</f>
        <v>612.74043929138168</v>
      </c>
      <c r="AD124" s="216">
        <f>(AD76*'NIR APA vkm'!$L26+AD84*'NIR APA vkm'!$L34+AD92*'NIR APA vkm'!$L42)/('NIR APA vkm'!$L26+'NIR APA vkm'!$L34+'NIR APA vkm'!$L42)</f>
        <v>616.54421451348276</v>
      </c>
      <c r="AE124" s="216">
        <f>(AE76*'NIR APA vkm'!$L26+AE84*'NIR APA vkm'!$L34+AE92*'NIR APA vkm'!$L42)/('NIR APA vkm'!$L26+'NIR APA vkm'!$L34+'NIR APA vkm'!$L42)</f>
        <v>612.80836412242752</v>
      </c>
      <c r="AF124" s="216">
        <f>(AF76*'NIR APA vkm'!$L26+AF84*'NIR APA vkm'!$L34+AF92*'NIR APA vkm'!$L42)/('NIR APA vkm'!$L26+'NIR APA vkm'!$L34+'NIR APA vkm'!$L42)</f>
        <v>615.87827917419258</v>
      </c>
      <c r="AG124" s="216">
        <f>(AG76*'NIR APA vkm'!$L26+AG84*'NIR APA vkm'!$L34+AG92*'NIR APA vkm'!$L42)/('NIR APA vkm'!$L26+'NIR APA vkm'!$L34+'NIR APA vkm'!$L42)</f>
        <v>608.71136789893717</v>
      </c>
      <c r="AH124" s="216">
        <f>(AH76*'NIR APA vkm'!$L26+AH84*'NIR APA vkm'!$L34+AH92*'NIR APA vkm'!$L42)/('NIR APA vkm'!$L26+'NIR APA vkm'!$L34+'NIR APA vkm'!$L42)</f>
        <v>6.6875669414474648E-2</v>
      </c>
      <c r="AI124" s="216">
        <f>(AI76*'NIR APA vkm'!$L26+AI84*'NIR APA vkm'!$L34+AI92*'NIR APA vkm'!$L42)/('NIR APA vkm'!$L26+'NIR APA vkm'!$L34+'NIR APA vkm'!$L42)</f>
        <v>8.1379345239210119E-3</v>
      </c>
      <c r="AJ124" s="216">
        <f>(AJ76*'NIR APA vkm'!$L26+AJ84*'NIR APA vkm'!$L34+AJ92*'NIR APA vkm'!$L42)/('NIR APA vkm'!$L26+'NIR APA vkm'!$L34+'NIR APA vkm'!$L42)</f>
        <v>24.571412992615649</v>
      </c>
      <c r="AK124" t="s">
        <v>424</v>
      </c>
      <c r="AL124" t="s">
        <v>790</v>
      </c>
    </row>
    <row r="125" spans="1:38" ht="15.75" thickBot="1" x14ac:dyDescent="0.3">
      <c r="A125" s="4" t="s">
        <v>46</v>
      </c>
      <c r="B125" s="7" t="s">
        <v>16</v>
      </c>
      <c r="C125" s="5" t="s">
        <v>3</v>
      </c>
      <c r="D125" s="6" t="s">
        <v>10</v>
      </c>
      <c r="E125" s="6" t="str">
        <f t="shared" si="35"/>
        <v>Pesado de Mercadorias N3: Geral : Gasóleo : E3</v>
      </c>
      <c r="F125" s="6" t="s">
        <v>55</v>
      </c>
      <c r="G125" s="6" t="s">
        <v>96</v>
      </c>
      <c r="H125" s="9">
        <f>IF(G125="MJ",INDEX(Tabela1[Energia (MJ/Qtd.)],MATCH(C125,Tabela1[Fuel],0)),IF(G125="GJ",INDEX(Tabela1[Energia (GJ/Qtd.)2],MATCH(C125,Tabela1[Fuel],0)),"XXX"))</f>
        <v>3.5868000000000004E-2</v>
      </c>
      <c r="I125" s="216">
        <f>(I77*'NIR APA vkm'!$L27+I85*'NIR APA vkm'!$L35+I93*'NIR APA vkm'!$L43)/('NIR APA vkm'!$L27+'NIR APA vkm'!$L35+'NIR APA vkm'!$L43)</f>
        <v>69432.257947185251</v>
      </c>
      <c r="J125" s="216">
        <f>(J77*'NIR APA vkm'!$L27+J85*'NIR APA vkm'!$L35+J93*'NIR APA vkm'!$L43)/('NIR APA vkm'!$L27+'NIR APA vkm'!$L35+'NIR APA vkm'!$L43)</f>
        <v>69859.484632183216</v>
      </c>
      <c r="K125" s="216">
        <f>(K77*'NIR APA vkm'!$L27+K85*'NIR APA vkm'!$L35+K93*'NIR APA vkm'!$L43)/('NIR APA vkm'!$L27+'NIR APA vkm'!$L35+'NIR APA vkm'!$L43)</f>
        <v>69428.886145748707</v>
      </c>
      <c r="L125" s="216">
        <f>(L77*'NIR APA vkm'!$L27+L85*'NIR APA vkm'!$L35+L93*'NIR APA vkm'!$L43)/('NIR APA vkm'!$L27+'NIR APA vkm'!$L35+'NIR APA vkm'!$L43)</f>
        <v>69885.248548830321</v>
      </c>
      <c r="M125" s="216">
        <f>(M77*'NIR APA vkm'!$L27+M85*'NIR APA vkm'!$L35+M93*'NIR APA vkm'!$L43)/('NIR APA vkm'!$L27+'NIR APA vkm'!$L35+'NIR APA vkm'!$L43)</f>
        <v>69422.054694452498</v>
      </c>
      <c r="N125" s="216">
        <f>(N77*'NIR APA vkm'!$L27+N85*'NIR APA vkm'!$L35+N93*'NIR APA vkm'!$L43)/('NIR APA vkm'!$L27+'NIR APA vkm'!$L35+'NIR APA vkm'!$L43)</f>
        <v>69794.08864471897</v>
      </c>
      <c r="O125" s="216">
        <f>(O77*'NIR APA vkm'!$L27+O85*'NIR APA vkm'!$L35+O93*'NIR APA vkm'!$L43)/('NIR APA vkm'!$L27+'NIR APA vkm'!$L35+'NIR APA vkm'!$L43)</f>
        <v>69066.209565114128</v>
      </c>
      <c r="P125" s="216">
        <f>(P77*'NIR APA vkm'!$L27+P85*'NIR APA vkm'!$L35+P93*'NIR APA vkm'!$L43)/('NIR APA vkm'!$L27+'NIR APA vkm'!$L35+'NIR APA vkm'!$L43)</f>
        <v>8.015510037485118</v>
      </c>
      <c r="Q125" s="216">
        <f>(Q77*'NIR APA vkm'!$L27+Q85*'NIR APA vkm'!$L35+Q93*'NIR APA vkm'!$L43)/('NIR APA vkm'!$L27+'NIR APA vkm'!$L35+'NIR APA vkm'!$L43)</f>
        <v>0.52166905503771244</v>
      </c>
      <c r="R125" s="216">
        <f>(R77*'NIR APA vkm'!$L27+R85*'NIR APA vkm'!$L35+R93*'NIR APA vkm'!$L43)/('NIR APA vkm'!$L27+'NIR APA vkm'!$L35+'NIR APA vkm'!$L43)</f>
        <v>2490.3962280496412</v>
      </c>
      <c r="S125" s="216">
        <f>(S77*'NIR APA vkm'!$L27+S85*'NIR APA vkm'!$L35+S93*'NIR APA vkm'!$L43)/('NIR APA vkm'!$L27+'NIR APA vkm'!$L35+'NIR APA vkm'!$L43)</f>
        <v>2505.7199947871482</v>
      </c>
      <c r="T125" s="216">
        <f>(T77*'NIR APA vkm'!$L27+T85*'NIR APA vkm'!$L35+T93*'NIR APA vkm'!$L43)/('NIR APA vkm'!$L27+'NIR APA vkm'!$L35+'NIR APA vkm'!$L43)</f>
        <v>2490.2752882757154</v>
      </c>
      <c r="U125" s="216">
        <f>(U77*'NIR APA vkm'!$L27+U85*'NIR APA vkm'!$L35+U93*'NIR APA vkm'!$L43)/('NIR APA vkm'!$L27+'NIR APA vkm'!$L35+'NIR APA vkm'!$L43)</f>
        <v>2506.6440949494463</v>
      </c>
      <c r="V125" s="216">
        <f>(V77*'NIR APA vkm'!$L27+V85*'NIR APA vkm'!$L35+V93*'NIR APA vkm'!$L43)/('NIR APA vkm'!$L27+'NIR APA vkm'!$L35+'NIR APA vkm'!$L43)</f>
        <v>2490.0302577806224</v>
      </c>
      <c r="W125" s="216">
        <f>(W77*'NIR APA vkm'!$L27+W85*'NIR APA vkm'!$L35+W93*'NIR APA vkm'!$L43)/('NIR APA vkm'!$L27+'NIR APA vkm'!$L35+'NIR APA vkm'!$L43)</f>
        <v>2503.3743715087799</v>
      </c>
      <c r="X125" s="216">
        <f>(X77*'NIR APA vkm'!$L27+X85*'NIR APA vkm'!$L35+X93*'NIR APA vkm'!$L43)/('NIR APA vkm'!$L27+'NIR APA vkm'!$L35+'NIR APA vkm'!$L43)</f>
        <v>2477.2668046815143</v>
      </c>
      <c r="Y125" s="216">
        <f>(Y77*'NIR APA vkm'!$L27+Y85*'NIR APA vkm'!$L35+Y93*'NIR APA vkm'!$L43)/('NIR APA vkm'!$L27+'NIR APA vkm'!$L35+'NIR APA vkm'!$L43)</f>
        <v>0.2875003140245162</v>
      </c>
      <c r="Z125" s="216">
        <f>(Z77*'NIR APA vkm'!$L27+Z85*'NIR APA vkm'!$L35+Z93*'NIR APA vkm'!$L43)/('NIR APA vkm'!$L27+'NIR APA vkm'!$L35+'NIR APA vkm'!$L43)</f>
        <v>1.8711225666092669E-2</v>
      </c>
      <c r="AA125" s="216">
        <f>(AA77*'NIR APA vkm'!$L27+AA85*'NIR APA vkm'!$L35+AA93*'NIR APA vkm'!$L43)/('NIR APA vkm'!$L27+'NIR APA vkm'!$L35+'NIR APA vkm'!$L43)</f>
        <v>626.82467487556266</v>
      </c>
      <c r="AB125" s="216">
        <f>(AB77*'NIR APA vkm'!$L27+AB85*'NIR APA vkm'!$L35+AB93*'NIR APA vkm'!$L43)/('NIR APA vkm'!$L27+'NIR APA vkm'!$L35+'NIR APA vkm'!$L43)</f>
        <v>630.57609211408158</v>
      </c>
      <c r="AC125" s="216">
        <f>(AC77*'NIR APA vkm'!$L27+AC85*'NIR APA vkm'!$L35+AC93*'NIR APA vkm'!$L43)/('NIR APA vkm'!$L27+'NIR APA vkm'!$L35+'NIR APA vkm'!$L43)</f>
        <v>626.79395588802686</v>
      </c>
      <c r="AD125" s="216">
        <f>(AD77*'NIR APA vkm'!$L27+AD85*'NIR APA vkm'!$L35+AD93*'NIR APA vkm'!$L43)/('NIR APA vkm'!$L27+'NIR APA vkm'!$L35+'NIR APA vkm'!$L43)</f>
        <v>630.80107079657569</v>
      </c>
      <c r="AE125" s="216">
        <f>(AE77*'NIR APA vkm'!$L27+AE85*'NIR APA vkm'!$L35+AE93*'NIR APA vkm'!$L43)/('NIR APA vkm'!$L27+'NIR APA vkm'!$L35+'NIR APA vkm'!$L43)</f>
        <v>626.7385555370397</v>
      </c>
      <c r="AF125" s="216">
        <f>(AF77*'NIR APA vkm'!$L27+AF85*'NIR APA vkm'!$L35+AF93*'NIR APA vkm'!$L43)/('NIR APA vkm'!$L27+'NIR APA vkm'!$L35+'NIR APA vkm'!$L43)</f>
        <v>630.00408252542547</v>
      </c>
      <c r="AG125" s="216">
        <f>(AG77*'NIR APA vkm'!$L27+AG85*'NIR APA vkm'!$L35+AG93*'NIR APA vkm'!$L43)/('NIR APA vkm'!$L27+'NIR APA vkm'!$L35+'NIR APA vkm'!$L43)</f>
        <v>623.57251977710825</v>
      </c>
      <c r="AH125" s="216">
        <f>(AH77*'NIR APA vkm'!$L27+AH85*'NIR APA vkm'!$L35+AH93*'NIR APA vkm'!$L43)/('NIR APA vkm'!$L27+'NIR APA vkm'!$L35+'NIR APA vkm'!$L43)</f>
        <v>7.0383062636380653E-2</v>
      </c>
      <c r="AI125" s="216">
        <f>(AI77*'NIR APA vkm'!$L27+AI85*'NIR APA vkm'!$L35+AI93*'NIR APA vkm'!$L43)/('NIR APA vkm'!$L27+'NIR APA vkm'!$L35+'NIR APA vkm'!$L43)</f>
        <v>4.7196617249054178E-3</v>
      </c>
      <c r="AJ125" s="216">
        <f>(AJ77*'NIR APA vkm'!$L27+AJ85*'NIR APA vkm'!$L35+AJ93*'NIR APA vkm'!$L43)/('NIR APA vkm'!$L27+'NIR APA vkm'!$L35+'NIR APA vkm'!$L43)</f>
        <v>25.172362544215492</v>
      </c>
      <c r="AK125" t="s">
        <v>424</v>
      </c>
      <c r="AL125" t="s">
        <v>790</v>
      </c>
    </row>
    <row r="126" spans="1:38" ht="15.75" thickBot="1" x14ac:dyDescent="0.3">
      <c r="A126" s="4" t="s">
        <v>46</v>
      </c>
      <c r="B126" s="7" t="s">
        <v>16</v>
      </c>
      <c r="C126" s="5" t="s">
        <v>3</v>
      </c>
      <c r="D126" s="6" t="s">
        <v>4</v>
      </c>
      <c r="E126" s="6" t="str">
        <f t="shared" si="35"/>
        <v>Pesado de Mercadorias N3: Geral : Gasóleo : E4</v>
      </c>
      <c r="F126" s="6" t="s">
        <v>55</v>
      </c>
      <c r="G126" s="6" t="s">
        <v>96</v>
      </c>
      <c r="H126" s="9">
        <f>IF(G126="MJ",INDEX(Tabela1[Energia (MJ/Qtd.)],MATCH(C126,Tabela1[Fuel],0)),IF(G126="GJ",INDEX(Tabela1[Energia (GJ/Qtd.)2],MATCH(C126,Tabela1[Fuel],0)),"XXX"))</f>
        <v>3.5868000000000004E-2</v>
      </c>
      <c r="I126" s="216">
        <f>(I78*'NIR APA vkm'!$L28+I86*'NIR APA vkm'!$L36+I94*'NIR APA vkm'!$L44)/('NIR APA vkm'!$L28+'NIR APA vkm'!$L36+'NIR APA vkm'!$L44)</f>
        <v>69817.142660344165</v>
      </c>
      <c r="J126" s="216">
        <f>(J78*'NIR APA vkm'!$L28+J86*'NIR APA vkm'!$L36+J94*'NIR APA vkm'!$L44)/('NIR APA vkm'!$L28+'NIR APA vkm'!$L36+'NIR APA vkm'!$L44)</f>
        <v>69847.086302809446</v>
      </c>
      <c r="K126" s="216">
        <f>(K78*'NIR APA vkm'!$L28+K86*'NIR APA vkm'!$L36+K94*'NIR APA vkm'!$L44)/('NIR APA vkm'!$L28+'NIR APA vkm'!$L36+'NIR APA vkm'!$L44)</f>
        <v>69805.652654767269</v>
      </c>
      <c r="L126" s="216">
        <f>(L78*'NIR APA vkm'!$L28+L86*'NIR APA vkm'!$L36+L94*'NIR APA vkm'!$L44)/('NIR APA vkm'!$L28+'NIR APA vkm'!$L36+'NIR APA vkm'!$L44)</f>
        <v>69836.231663450817</v>
      </c>
      <c r="M126" s="216">
        <f>(M78*'NIR APA vkm'!$L28+M86*'NIR APA vkm'!$L36+M94*'NIR APA vkm'!$L44)/('NIR APA vkm'!$L28+'NIR APA vkm'!$L36+'NIR APA vkm'!$L44)</f>
        <v>69851.595284716153</v>
      </c>
      <c r="N126" s="216">
        <f>(N78*'NIR APA vkm'!$L28+N86*'NIR APA vkm'!$L36+N94*'NIR APA vkm'!$L44)/('NIR APA vkm'!$L28+'NIR APA vkm'!$L36+'NIR APA vkm'!$L44)</f>
        <v>69865.010164203675</v>
      </c>
      <c r="O126" s="216">
        <f>(O78*'NIR APA vkm'!$L28+O86*'NIR APA vkm'!$L36+O94*'NIR APA vkm'!$L44)/('NIR APA vkm'!$L28+'NIR APA vkm'!$L36+'NIR APA vkm'!$L44)</f>
        <v>69407.455032326558</v>
      </c>
      <c r="P126" s="216">
        <f>(P78*'NIR APA vkm'!$L28+P86*'NIR APA vkm'!$L36+P94*'NIR APA vkm'!$L44)/('NIR APA vkm'!$L28+'NIR APA vkm'!$L36+'NIR APA vkm'!$L44)</f>
        <v>0.56179441773497107</v>
      </c>
      <c r="Q126" s="216">
        <f>(Q78*'NIR APA vkm'!$L28+Q86*'NIR APA vkm'!$L36+Q94*'NIR APA vkm'!$L44)/('NIR APA vkm'!$L28+'NIR APA vkm'!$L36+'NIR APA vkm'!$L44)</f>
        <v>1.4432731273363344</v>
      </c>
      <c r="R126" s="216">
        <f>(R78*'NIR APA vkm'!$L28+R86*'NIR APA vkm'!$L36+R94*'NIR APA vkm'!$L44)/('NIR APA vkm'!$L28+'NIR APA vkm'!$L36+'NIR APA vkm'!$L44)</f>
        <v>2504.2012729412254</v>
      </c>
      <c r="S126" s="216">
        <f>(S78*'NIR APA vkm'!$L28+S86*'NIR APA vkm'!$L36+S94*'NIR APA vkm'!$L44)/('NIR APA vkm'!$L28+'NIR APA vkm'!$L36+'NIR APA vkm'!$L44)</f>
        <v>2505.2752915091692</v>
      </c>
      <c r="T126" s="216">
        <f>(T78*'NIR APA vkm'!$L28+T86*'NIR APA vkm'!$L36+T94*'NIR APA vkm'!$L44)/('NIR APA vkm'!$L28+'NIR APA vkm'!$L36+'NIR APA vkm'!$L44)</f>
        <v>2503.7891494211922</v>
      </c>
      <c r="U126" s="216">
        <f>(U78*'NIR APA vkm'!$L28+U86*'NIR APA vkm'!$L36+U94*'NIR APA vkm'!$L44)/('NIR APA vkm'!$L28+'NIR APA vkm'!$L36+'NIR APA vkm'!$L44)</f>
        <v>2504.8859573046543</v>
      </c>
      <c r="V126" s="216">
        <f>(V78*'NIR APA vkm'!$L28+V86*'NIR APA vkm'!$L36+V94*'NIR APA vkm'!$L44)/('NIR APA vkm'!$L28+'NIR APA vkm'!$L36+'NIR APA vkm'!$L44)</f>
        <v>2505.4370196721993</v>
      </c>
      <c r="W126" s="216">
        <f>(W78*'NIR APA vkm'!$L28+W86*'NIR APA vkm'!$L36+W94*'NIR APA vkm'!$L44)/('NIR APA vkm'!$L28+'NIR APA vkm'!$L36+'NIR APA vkm'!$L44)</f>
        <v>2505.9181845696576</v>
      </c>
      <c r="X126" s="216">
        <f>(X78*'NIR APA vkm'!$L28+X86*'NIR APA vkm'!$L36+X94*'NIR APA vkm'!$L44)/('NIR APA vkm'!$L28+'NIR APA vkm'!$L36+'NIR APA vkm'!$L44)</f>
        <v>2489.5065970994892</v>
      </c>
      <c r="Y126" s="216">
        <f>(Y78*'NIR APA vkm'!$L28+Y86*'NIR APA vkm'!$L36+Y94*'NIR APA vkm'!$L44)/('NIR APA vkm'!$L28+'NIR APA vkm'!$L36+'NIR APA vkm'!$L44)</f>
        <v>2.0150442175317942E-2</v>
      </c>
      <c r="Z126" s="216">
        <f>(Z78*'NIR APA vkm'!$L28+Z86*'NIR APA vkm'!$L36+Z94*'NIR APA vkm'!$L44)/('NIR APA vkm'!$L28+'NIR APA vkm'!$L36+'NIR APA vkm'!$L44)</f>
        <v>5.1767320531299649E-2</v>
      </c>
      <c r="AA126" s="216">
        <f>(AA78*'NIR APA vkm'!$L28+AA86*'NIR APA vkm'!$L36+AA94*'NIR APA vkm'!$L44)/('NIR APA vkm'!$L28+'NIR APA vkm'!$L36+'NIR APA vkm'!$L44)</f>
        <v>569.83220108544185</v>
      </c>
      <c r="AB126" s="216">
        <f>(AB78*'NIR APA vkm'!$L28+AB86*'NIR APA vkm'!$L36+AB94*'NIR APA vkm'!$L44)/('NIR APA vkm'!$L28+'NIR APA vkm'!$L36+'NIR APA vkm'!$L44)</f>
        <v>570.07426116919612</v>
      </c>
      <c r="AC126" s="216">
        <f>(AC78*'NIR APA vkm'!$L28+AC86*'NIR APA vkm'!$L36+AC94*'NIR APA vkm'!$L44)/('NIR APA vkm'!$L28+'NIR APA vkm'!$L36+'NIR APA vkm'!$L44)</f>
        <v>569.73882134658425</v>
      </c>
      <c r="AD126" s="216">
        <f>(AD78*'NIR APA vkm'!$L28+AD86*'NIR APA vkm'!$L36+AD94*'NIR APA vkm'!$L44)/('NIR APA vkm'!$L28+'NIR APA vkm'!$L36+'NIR APA vkm'!$L44)</f>
        <v>569.98595561511706</v>
      </c>
      <c r="AE126" s="216">
        <f>(AE78*'NIR APA vkm'!$L28+AE86*'NIR APA vkm'!$L36+AE94*'NIR APA vkm'!$L44)/('NIR APA vkm'!$L28+'NIR APA vkm'!$L36+'NIR APA vkm'!$L44)</f>
        <v>570.1122617287208</v>
      </c>
      <c r="AF126" s="216">
        <f>(AF78*'NIR APA vkm'!$L28+AF86*'NIR APA vkm'!$L36+AF94*'NIR APA vkm'!$L44)/('NIR APA vkm'!$L28+'NIR APA vkm'!$L36+'NIR APA vkm'!$L44)</f>
        <v>570.22014746203752</v>
      </c>
      <c r="AG126" s="216">
        <f>(AG78*'NIR APA vkm'!$L28+AG86*'NIR APA vkm'!$L36+AG94*'NIR APA vkm'!$L44)/('NIR APA vkm'!$L28+'NIR APA vkm'!$L36+'NIR APA vkm'!$L44)</f>
        <v>566.50341287454876</v>
      </c>
      <c r="AH126" s="216">
        <f>(AH78*'NIR APA vkm'!$L28+AH86*'NIR APA vkm'!$L36+AH94*'NIR APA vkm'!$L44)/('NIR APA vkm'!$L28+'NIR APA vkm'!$L36+'NIR APA vkm'!$L44)</f>
        <v>4.5414649860077722E-3</v>
      </c>
      <c r="AI126" s="216">
        <f>(AI78*'NIR APA vkm'!$L28+AI86*'NIR APA vkm'!$L36+AI94*'NIR APA vkm'!$L44)/('NIR APA vkm'!$L28+'NIR APA vkm'!$L36+'NIR APA vkm'!$L44)</f>
        <v>1.1729235669536509E-2</v>
      </c>
      <c r="AJ126" s="216">
        <f>(AJ78*'NIR APA vkm'!$L28+AJ86*'NIR APA vkm'!$L36+AJ94*'NIR APA vkm'!$L44)/('NIR APA vkm'!$L28+'NIR APA vkm'!$L36+'NIR APA vkm'!$L44)</f>
        <v>22.75595952389331</v>
      </c>
      <c r="AK126" t="s">
        <v>424</v>
      </c>
      <c r="AL126" t="s">
        <v>790</v>
      </c>
    </row>
    <row r="127" spans="1:38" ht="15.75" thickBot="1" x14ac:dyDescent="0.3">
      <c r="A127" s="4" t="s">
        <v>46</v>
      </c>
      <c r="B127" s="7" t="s">
        <v>16</v>
      </c>
      <c r="C127" s="5" t="s">
        <v>3</v>
      </c>
      <c r="D127" s="6" t="s">
        <v>5</v>
      </c>
      <c r="E127" s="6" t="str">
        <f t="shared" si="35"/>
        <v>Pesado de Mercadorias N3: Geral : Gasóleo : E5</v>
      </c>
      <c r="F127" s="6" t="s">
        <v>55</v>
      </c>
      <c r="G127" s="6" t="s">
        <v>96</v>
      </c>
      <c r="H127" s="9">
        <f>IF(G127="MJ",INDEX(Tabela1[Energia (MJ/Qtd.)],MATCH(C127,Tabela1[Fuel],0)),IF(G127="GJ",INDEX(Tabela1[Energia (GJ/Qtd.)2],MATCH(C127,Tabela1[Fuel],0)),"XXX"))</f>
        <v>3.5868000000000004E-2</v>
      </c>
      <c r="I127" s="216">
        <f>(I79*'NIR APA vkm'!$L29+I87*'NIR APA vkm'!$L37+I95*'NIR APA vkm'!$L45)/('NIR APA vkm'!$L29+'NIR APA vkm'!$L37+'NIR APA vkm'!$L45)</f>
        <v>70597.326510650659</v>
      </c>
      <c r="J127" s="216">
        <f>(J79*'NIR APA vkm'!$L29+J87*'NIR APA vkm'!$L37+J95*'NIR APA vkm'!$L45)/('NIR APA vkm'!$L29+'NIR APA vkm'!$L37+'NIR APA vkm'!$L45)</f>
        <v>70629.711431692849</v>
      </c>
      <c r="K127" s="216">
        <f>(K79*'NIR APA vkm'!$L29+K87*'NIR APA vkm'!$L37+K95*'NIR APA vkm'!$L45)/('NIR APA vkm'!$L29+'NIR APA vkm'!$L37+'NIR APA vkm'!$L45)</f>
        <v>70563.045833275348</v>
      </c>
      <c r="L127" s="216">
        <f>(L79*'NIR APA vkm'!$L29+L87*'NIR APA vkm'!$L37+L95*'NIR APA vkm'!$L45)/('NIR APA vkm'!$L29+'NIR APA vkm'!$L37+'NIR APA vkm'!$L45)</f>
        <v>70593.386183648327</v>
      </c>
      <c r="M127" s="216">
        <f>(M79*'NIR APA vkm'!$L29+M87*'NIR APA vkm'!$L37+M95*'NIR APA vkm'!$L45)/('NIR APA vkm'!$L29+'NIR APA vkm'!$L37+'NIR APA vkm'!$L45)</f>
        <v>70702.881470165172</v>
      </c>
      <c r="N127" s="216">
        <f>(N79*'NIR APA vkm'!$L29+N87*'NIR APA vkm'!$L37+N95*'NIR APA vkm'!$L45)/('NIR APA vkm'!$L29+'NIR APA vkm'!$L37+'NIR APA vkm'!$L45)</f>
        <v>70692.804413284321</v>
      </c>
      <c r="O127" s="216">
        <f>(O79*'NIR APA vkm'!$L29+O87*'NIR APA vkm'!$L37+O95*'NIR APA vkm'!$L45)/('NIR APA vkm'!$L29+'NIR APA vkm'!$L37+'NIR APA vkm'!$L45)</f>
        <v>69408.473013603012</v>
      </c>
      <c r="P127" s="216">
        <f>(P79*'NIR APA vkm'!$L29+P87*'NIR APA vkm'!$L37+P95*'NIR APA vkm'!$L45)/('NIR APA vkm'!$L29+'NIR APA vkm'!$L37+'NIR APA vkm'!$L45)</f>
        <v>0.60759701767721375</v>
      </c>
      <c r="Q127" s="216">
        <f>(Q79*'NIR APA vkm'!$L29+Q87*'NIR APA vkm'!$L37+Q95*'NIR APA vkm'!$L45)/('NIR APA vkm'!$L29+'NIR APA vkm'!$L37+'NIR APA vkm'!$L45)</f>
        <v>4.2926796346316713</v>
      </c>
      <c r="R127" s="216">
        <f>(R79*'NIR APA vkm'!$L29+R87*'NIR APA vkm'!$L37+R95*'NIR APA vkm'!$L45)/('NIR APA vkm'!$L29+'NIR APA vkm'!$L37+'NIR APA vkm'!$L45)</f>
        <v>2532.1849072840178</v>
      </c>
      <c r="S127" s="216">
        <f>(S79*'NIR APA vkm'!$L29+S87*'NIR APA vkm'!$L37+S95*'NIR APA vkm'!$L45)/('NIR APA vkm'!$L29+'NIR APA vkm'!$L37+'NIR APA vkm'!$L45)</f>
        <v>2533.3464896319597</v>
      </c>
      <c r="T127" s="216">
        <f>(T79*'NIR APA vkm'!$L29+T87*'NIR APA vkm'!$L37+T95*'NIR APA vkm'!$L45)/('NIR APA vkm'!$L29+'NIR APA vkm'!$L37+'NIR APA vkm'!$L45)</f>
        <v>2530.955327947921</v>
      </c>
      <c r="U127" s="216">
        <f>(U79*'NIR APA vkm'!$L29+U87*'NIR APA vkm'!$L37+U95*'NIR APA vkm'!$L45)/('NIR APA vkm'!$L29+'NIR APA vkm'!$L37+'NIR APA vkm'!$L45)</f>
        <v>2532.0435756350985</v>
      </c>
      <c r="V127" s="216">
        <f>(V79*'NIR APA vkm'!$L29+V87*'NIR APA vkm'!$L37+V95*'NIR APA vkm'!$L45)/('NIR APA vkm'!$L29+'NIR APA vkm'!$L37+'NIR APA vkm'!$L45)</f>
        <v>2535.9709525718845</v>
      </c>
      <c r="W127" s="216">
        <f>(W79*'NIR APA vkm'!$L29+W87*'NIR APA vkm'!$L37+W95*'NIR APA vkm'!$L45)/('NIR APA vkm'!$L29+'NIR APA vkm'!$L37+'NIR APA vkm'!$L45)</f>
        <v>2535.6095086956821</v>
      </c>
      <c r="X127" s="216">
        <f>(X79*'NIR APA vkm'!$L29+X87*'NIR APA vkm'!$L37+X95*'NIR APA vkm'!$L45)/('NIR APA vkm'!$L29+'NIR APA vkm'!$L37+'NIR APA vkm'!$L45)</f>
        <v>2489.5431100519131</v>
      </c>
      <c r="Y127" s="216">
        <f>(Y79*'NIR APA vkm'!$L29+Y87*'NIR APA vkm'!$L37+Y95*'NIR APA vkm'!$L45)/('NIR APA vkm'!$L29+'NIR APA vkm'!$L37+'NIR APA vkm'!$L45)</f>
        <v>2.1793289830046299E-2</v>
      </c>
      <c r="Z127" s="216">
        <f>(Z79*'NIR APA vkm'!$L29+Z87*'NIR APA vkm'!$L37+Z95*'NIR APA vkm'!$L45)/('NIR APA vkm'!$L29+'NIR APA vkm'!$L37+'NIR APA vkm'!$L45)</f>
        <v>0.15396983313496879</v>
      </c>
      <c r="AA127" s="216">
        <f>(AA79*'NIR APA vkm'!$L29+AA87*'NIR APA vkm'!$L37+AA95*'NIR APA vkm'!$L45)/('NIR APA vkm'!$L29+'NIR APA vkm'!$L37+'NIR APA vkm'!$L45)</f>
        <v>547.6158150554819</v>
      </c>
      <c r="AB127" s="216">
        <f>(AB79*'NIR APA vkm'!$L29+AB87*'NIR APA vkm'!$L37+AB95*'NIR APA vkm'!$L45)/('NIR APA vkm'!$L29+'NIR APA vkm'!$L37+'NIR APA vkm'!$L45)</f>
        <v>547.8632154838815</v>
      </c>
      <c r="AC127" s="216">
        <f>(AC79*'NIR APA vkm'!$L29+AC87*'NIR APA vkm'!$L37+AC95*'NIR APA vkm'!$L45)/('NIR APA vkm'!$L29+'NIR APA vkm'!$L37+'NIR APA vkm'!$L45)</f>
        <v>547.35181857365239</v>
      </c>
      <c r="AD127" s="216">
        <f>(AD79*'NIR APA vkm'!$L29+AD87*'NIR APA vkm'!$L37+AD95*'NIR APA vkm'!$L45)/('NIR APA vkm'!$L29+'NIR APA vkm'!$L37+'NIR APA vkm'!$L45)</f>
        <v>547.5833355596418</v>
      </c>
      <c r="AE127" s="216">
        <f>(AE79*'NIR APA vkm'!$L29+AE87*'NIR APA vkm'!$L37+AE95*'NIR APA vkm'!$L45)/('NIR APA vkm'!$L29+'NIR APA vkm'!$L37+'NIR APA vkm'!$L45)</f>
        <v>548.42879376835708</v>
      </c>
      <c r="AF127" s="216">
        <f>(AF79*'NIR APA vkm'!$L29+AF87*'NIR APA vkm'!$L37+AF95*'NIR APA vkm'!$L45)/('NIR APA vkm'!$L29+'NIR APA vkm'!$L37+'NIR APA vkm'!$L45)</f>
        <v>548.34943351591573</v>
      </c>
      <c r="AG127" s="216">
        <f>(AG79*'NIR APA vkm'!$L29+AG87*'NIR APA vkm'!$L37+AG95*'NIR APA vkm'!$L45)/('NIR APA vkm'!$L29+'NIR APA vkm'!$L37+'NIR APA vkm'!$L45)</f>
        <v>538.4615931634396</v>
      </c>
      <c r="AH127" s="216">
        <f>(AH79*'NIR APA vkm'!$L29+AH87*'NIR APA vkm'!$L37+AH95*'NIR APA vkm'!$L45)/('NIR APA vkm'!$L29+'NIR APA vkm'!$L37+'NIR APA vkm'!$L45)</f>
        <v>4.6416590694111212E-3</v>
      </c>
      <c r="AI127" s="216">
        <f>(AI79*'NIR APA vkm'!$L29+AI87*'NIR APA vkm'!$L37+AI95*'NIR APA vkm'!$L45)/('NIR APA vkm'!$L29+'NIR APA vkm'!$L37+'NIR APA vkm'!$L45)</f>
        <v>3.3057580967054086E-2</v>
      </c>
      <c r="AJ127" s="216">
        <f>(AJ79*'NIR APA vkm'!$L29+AJ87*'NIR APA vkm'!$L37+AJ95*'NIR APA vkm'!$L45)/('NIR APA vkm'!$L29+'NIR APA vkm'!$L37+'NIR APA vkm'!$L45)</f>
        <v>21.629108427714627</v>
      </c>
      <c r="AK127" t="s">
        <v>424</v>
      </c>
      <c r="AL127" t="s">
        <v>790</v>
      </c>
    </row>
    <row r="128" spans="1:38" ht="15.75" thickBot="1" x14ac:dyDescent="0.3">
      <c r="A128" s="4" t="s">
        <v>46</v>
      </c>
      <c r="B128" s="7" t="s">
        <v>16</v>
      </c>
      <c r="C128" s="5" t="s">
        <v>3</v>
      </c>
      <c r="D128" s="6" t="s">
        <v>6</v>
      </c>
      <c r="E128" s="6" t="str">
        <f t="shared" si="35"/>
        <v>Pesado de Mercadorias N3: Geral : Gasóleo : E6</v>
      </c>
      <c r="F128" s="6" t="s">
        <v>55</v>
      </c>
      <c r="G128" s="6" t="s">
        <v>96</v>
      </c>
      <c r="H128" s="9">
        <f>IF(G128="MJ",INDEX(Tabela1[Energia (MJ/Qtd.)],MATCH(C128,Tabela1[Fuel],0)),IF(G128="GJ",INDEX(Tabela1[Energia (GJ/Qtd.)2],MATCH(C128,Tabela1[Fuel],0)),"XXX"))</f>
        <v>3.5868000000000004E-2</v>
      </c>
      <c r="I128" s="216">
        <f>(I80*'NIR APA vkm'!$L30+I88*'NIR APA vkm'!$L38+I96*'NIR APA vkm'!$L46)/('NIR APA vkm'!$L30+'NIR APA vkm'!$L38+'NIR APA vkm'!$L46)</f>
        <v>70525.304326110447</v>
      </c>
      <c r="J128" s="216">
        <f>(J80*'NIR APA vkm'!$L30+J88*'NIR APA vkm'!$L38+J96*'NIR APA vkm'!$L46)/('NIR APA vkm'!$L30+'NIR APA vkm'!$L38+'NIR APA vkm'!$L46)</f>
        <v>70557.950075348184</v>
      </c>
      <c r="K128" s="216">
        <f>(K80*'NIR APA vkm'!$L30+K88*'NIR APA vkm'!$L38+K96*'NIR APA vkm'!$L46)/('NIR APA vkm'!$L30+'NIR APA vkm'!$L38+'NIR APA vkm'!$L46)</f>
        <v>70490.814395021225</v>
      </c>
      <c r="L128" s="216">
        <f>(L80*'NIR APA vkm'!$L30+L88*'NIR APA vkm'!$L38+L96*'NIR APA vkm'!$L46)/('NIR APA vkm'!$L30+'NIR APA vkm'!$L38+'NIR APA vkm'!$L46)</f>
        <v>70521.407461978131</v>
      </c>
      <c r="M128" s="216">
        <f>(M80*'NIR APA vkm'!$L30+M88*'NIR APA vkm'!$L38+M96*'NIR APA vkm'!$L46)/('NIR APA vkm'!$L30+'NIR APA vkm'!$L38+'NIR APA vkm'!$L46)</f>
        <v>70631.500541324247</v>
      </c>
      <c r="N128" s="216">
        <f>(N80*'NIR APA vkm'!$L30+N88*'NIR APA vkm'!$L38+N96*'NIR APA vkm'!$L46)/('NIR APA vkm'!$L30+'NIR APA vkm'!$L38+'NIR APA vkm'!$L46)</f>
        <v>70621.417522083095</v>
      </c>
      <c r="O128" s="216">
        <f>(O80*'NIR APA vkm'!$L30+O88*'NIR APA vkm'!$L38+O96*'NIR APA vkm'!$L46)/('NIR APA vkm'!$L30+'NIR APA vkm'!$L38+'NIR APA vkm'!$L46)</f>
        <v>69329.156815626877</v>
      </c>
      <c r="P128" s="216">
        <f>(P80*'NIR APA vkm'!$L30+P88*'NIR APA vkm'!$L38+P96*'NIR APA vkm'!$L46)/('NIR APA vkm'!$L30+'NIR APA vkm'!$L38+'NIR APA vkm'!$L46)</f>
        <v>0.61249060483562212</v>
      </c>
      <c r="Q128" s="216">
        <f>(Q80*'NIR APA vkm'!$L30+Q88*'NIR APA vkm'!$L38+Q96*'NIR APA vkm'!$L46)/('NIR APA vkm'!$L30+'NIR APA vkm'!$L38+'NIR APA vkm'!$L46)</f>
        <v>4.3188975187130367</v>
      </c>
      <c r="R128" s="216">
        <f>(R80*'NIR APA vkm'!$L30+R88*'NIR APA vkm'!$L38+R96*'NIR APA vkm'!$L46)/('NIR APA vkm'!$L30+'NIR APA vkm'!$L38+'NIR APA vkm'!$L46)</f>
        <v>2529.6016155689299</v>
      </c>
      <c r="S128" s="216">
        <f>(S80*'NIR APA vkm'!$L30+S88*'NIR APA vkm'!$L38+S96*'NIR APA vkm'!$L46)/('NIR APA vkm'!$L30+'NIR APA vkm'!$L38+'NIR APA vkm'!$L46)</f>
        <v>2530.7725533025891</v>
      </c>
      <c r="T128" s="216">
        <f>(T80*'NIR APA vkm'!$L30+T88*'NIR APA vkm'!$L38+T96*'NIR APA vkm'!$L46)/('NIR APA vkm'!$L30+'NIR APA vkm'!$L38+'NIR APA vkm'!$L46)</f>
        <v>2528.3645307206216</v>
      </c>
      <c r="U128" s="216">
        <f>(U80*'NIR APA vkm'!$L30+U88*'NIR APA vkm'!$L38+U96*'NIR APA vkm'!$L46)/('NIR APA vkm'!$L30+'NIR APA vkm'!$L38+'NIR APA vkm'!$L46)</f>
        <v>2529.4618428462327</v>
      </c>
      <c r="V128" s="216">
        <f>(V80*'NIR APA vkm'!$L30+V88*'NIR APA vkm'!$L38+V96*'NIR APA vkm'!$L46)/('NIR APA vkm'!$L30+'NIR APA vkm'!$L38+'NIR APA vkm'!$L46)</f>
        <v>2533.4106614162179</v>
      </c>
      <c r="W128" s="216">
        <f>(W80*'NIR APA vkm'!$L30+W88*'NIR APA vkm'!$L38+W96*'NIR APA vkm'!$L46)/('NIR APA vkm'!$L30+'NIR APA vkm'!$L38+'NIR APA vkm'!$L46)</f>
        <v>2533.0490036820765</v>
      </c>
      <c r="X128" s="216">
        <f>(X80*'NIR APA vkm'!$L30+X88*'NIR APA vkm'!$L38+X96*'NIR APA vkm'!$L46)/('NIR APA vkm'!$L30+'NIR APA vkm'!$L38+'NIR APA vkm'!$L46)</f>
        <v>2486.6981966629046</v>
      </c>
      <c r="Y128" s="216">
        <f>(Y80*'NIR APA vkm'!$L30+Y88*'NIR APA vkm'!$L38+Y96*'NIR APA vkm'!$L46)/('NIR APA vkm'!$L30+'NIR APA vkm'!$L38+'NIR APA vkm'!$L46)</f>
        <v>2.1968813014244096E-2</v>
      </c>
      <c r="Z128" s="216">
        <f>(Z80*'NIR APA vkm'!$L30+Z88*'NIR APA vkm'!$L38+Z96*'NIR APA vkm'!$L46)/('NIR APA vkm'!$L30+'NIR APA vkm'!$L38+'NIR APA vkm'!$L46)</f>
        <v>0.15491021620119919</v>
      </c>
      <c r="AA128" s="216">
        <f>(AA80*'NIR APA vkm'!$L30+AA88*'NIR APA vkm'!$L38+AA96*'NIR APA vkm'!$L46)/('NIR APA vkm'!$L30+'NIR APA vkm'!$L38+'NIR APA vkm'!$L46)</f>
        <v>545.72437427979105</v>
      </c>
      <c r="AB128" s="216">
        <f>(AB80*'NIR APA vkm'!$L30+AB88*'NIR APA vkm'!$L38+AB96*'NIR APA vkm'!$L46)/('NIR APA vkm'!$L30+'NIR APA vkm'!$L38+'NIR APA vkm'!$L46)</f>
        <v>545.97464115393075</v>
      </c>
      <c r="AC128" s="216">
        <f>(AC80*'NIR APA vkm'!$L30+AC88*'NIR APA vkm'!$L38+AC96*'NIR APA vkm'!$L46)/('NIR APA vkm'!$L30+'NIR APA vkm'!$L38+'NIR APA vkm'!$L46)</f>
        <v>545.4581593056746</v>
      </c>
      <c r="AD128" s="216">
        <f>(AD80*'NIR APA vkm'!$L30+AD88*'NIR APA vkm'!$L38+AD96*'NIR APA vkm'!$L46)/('NIR APA vkm'!$L30+'NIR APA vkm'!$L38+'NIR APA vkm'!$L46)</f>
        <v>545.69246373766316</v>
      </c>
      <c r="AE128" s="216">
        <f>(AE80*'NIR APA vkm'!$L30+AE88*'NIR APA vkm'!$L38+AE96*'NIR APA vkm'!$L46)/('NIR APA vkm'!$L30+'NIR APA vkm'!$L38+'NIR APA vkm'!$L46)</f>
        <v>546.54414662668466</v>
      </c>
      <c r="AF128" s="216">
        <f>(AF80*'NIR APA vkm'!$L30+AF88*'NIR APA vkm'!$L38+AF96*'NIR APA vkm'!$L46)/('NIR APA vkm'!$L30+'NIR APA vkm'!$L38+'NIR APA vkm'!$L46)</f>
        <v>546.46481215531071</v>
      </c>
      <c r="AG128" s="216">
        <f>(AG80*'NIR APA vkm'!$L30+AG88*'NIR APA vkm'!$L38+AG96*'NIR APA vkm'!$L46)/('NIR APA vkm'!$L30+'NIR APA vkm'!$L38+'NIR APA vkm'!$L46)</f>
        <v>536.49276236880894</v>
      </c>
      <c r="AH128" s="216">
        <f>(AH80*'NIR APA vkm'!$L30+AH88*'NIR APA vkm'!$L38+AH96*'NIR APA vkm'!$L46)/('NIR APA vkm'!$L30+'NIR APA vkm'!$L38+'NIR APA vkm'!$L46)</f>
        <v>4.6954385392066851E-3</v>
      </c>
      <c r="AI128" s="216">
        <f>(AI80*'NIR APA vkm'!$L30+AI88*'NIR APA vkm'!$L38+AI96*'NIR APA vkm'!$L46)/('NIR APA vkm'!$L30+'NIR APA vkm'!$L38+'NIR APA vkm'!$L46)</f>
        <v>3.3335564746293685E-2</v>
      </c>
      <c r="AJ128" s="216">
        <f>(AJ80*'NIR APA vkm'!$L30+AJ88*'NIR APA vkm'!$L38+AJ96*'NIR APA vkm'!$L46)/('NIR APA vkm'!$L30+'NIR APA vkm'!$L38+'NIR APA vkm'!$L46)</f>
        <v>21.574612437954453</v>
      </c>
      <c r="AK128" t="s">
        <v>424</v>
      </c>
      <c r="AL128" t="s">
        <v>790</v>
      </c>
    </row>
    <row r="129" spans="1:38" ht="15.75" thickBot="1" x14ac:dyDescent="0.3">
      <c r="A129" s="4" t="s">
        <v>46</v>
      </c>
      <c r="B129" s="7" t="s">
        <v>16</v>
      </c>
      <c r="C129" s="5" t="s">
        <v>3</v>
      </c>
      <c r="D129" s="6" t="s">
        <v>81</v>
      </c>
      <c r="E129" s="6" t="str">
        <f t="shared" si="35"/>
        <v>Pesado de Mercadorias N3: Geral : Gasóleo : E6 D/E E7</v>
      </c>
      <c r="F129" s="6" t="s">
        <v>55</v>
      </c>
      <c r="G129" s="6" t="s">
        <v>96</v>
      </c>
      <c r="H129" s="9">
        <f>IF(G129="MJ",INDEX(Tabela1[Energia (MJ/Qtd.)],MATCH(C129,Tabela1[Fuel],0)),IF(G129="GJ",INDEX(Tabela1[Energia (GJ/Qtd.)2],MATCH(C129,Tabela1[Fuel],0)),"XXX"))</f>
        <v>3.5868000000000004E-2</v>
      </c>
      <c r="I129" s="216">
        <f>(I81*'NIR APA vkm'!$L31+I89*'NIR APA vkm'!$L39+I97*'NIR APA vkm'!$L47)/('NIR APA vkm'!$L31+'NIR APA vkm'!$L39+'NIR APA vkm'!$L47)</f>
        <v>70526.694788140347</v>
      </c>
      <c r="J129" s="216">
        <f>(J81*'NIR APA vkm'!$L31+J89*'NIR APA vkm'!$L39+J97*'NIR APA vkm'!$L47)/('NIR APA vkm'!$L31+'NIR APA vkm'!$L39+'NIR APA vkm'!$L47)</f>
        <v>70559.327702351002</v>
      </c>
      <c r="K129" s="216">
        <f>(K81*'NIR APA vkm'!$L31+K89*'NIR APA vkm'!$L39+K97*'NIR APA vkm'!$L47)/('NIR APA vkm'!$L31+'NIR APA vkm'!$L39+'NIR APA vkm'!$L47)</f>
        <v>70492.163861903406</v>
      </c>
      <c r="L129" s="216">
        <f>(L81*'NIR APA vkm'!$L31+L89*'NIR APA vkm'!$L39+L97*'NIR APA vkm'!$L47)/('NIR APA vkm'!$L31+'NIR APA vkm'!$L39+'NIR APA vkm'!$L47)</f>
        <v>70522.738081462987</v>
      </c>
      <c r="M129" s="216">
        <f>(M81*'NIR APA vkm'!$L31+M89*'NIR APA vkm'!$L39+M97*'NIR APA vkm'!$L47)/('NIR APA vkm'!$L31+'NIR APA vkm'!$L39+'NIR APA vkm'!$L47)</f>
        <v>70633.019736279632</v>
      </c>
      <c r="N129" s="216">
        <f>(N81*'NIR APA vkm'!$L31+N89*'NIR APA vkm'!$L39+N97*'NIR APA vkm'!$L47)/('NIR APA vkm'!$L31+'NIR APA vkm'!$L39+'NIR APA vkm'!$L47)</f>
        <v>70622.879306646762</v>
      </c>
      <c r="O129" s="216">
        <f>(O81*'NIR APA vkm'!$L31+O89*'NIR APA vkm'!$L39+O97*'NIR APA vkm'!$L47)/('NIR APA vkm'!$L31+'NIR APA vkm'!$L39+'NIR APA vkm'!$L47)</f>
        <v>69329.155858517552</v>
      </c>
      <c r="P129" s="216">
        <f>(P81*'NIR APA vkm'!$L31+P89*'NIR APA vkm'!$L39+P97*'NIR APA vkm'!$L47)/('NIR APA vkm'!$L31+'NIR APA vkm'!$L39+'NIR APA vkm'!$L47)</f>
        <v>0.61224979757335041</v>
      </c>
      <c r="Q129" s="216">
        <f>(Q81*'NIR APA vkm'!$L31+Q89*'NIR APA vkm'!$L39+Q97*'NIR APA vkm'!$L47)/('NIR APA vkm'!$L31+'NIR APA vkm'!$L39+'NIR APA vkm'!$L47)</f>
        <v>4.3240189020897395</v>
      </c>
      <c r="R129" s="216">
        <f>(R81*'NIR APA vkm'!$L31+R89*'NIR APA vkm'!$L39+R97*'NIR APA vkm'!$L47)/('NIR APA vkm'!$L31+'NIR APA vkm'!$L39+'NIR APA vkm'!$L47)</f>
        <v>2529.6514886610184</v>
      </c>
      <c r="S129" s="216">
        <f>(S81*'NIR APA vkm'!$L31+S89*'NIR APA vkm'!$L39+S97*'NIR APA vkm'!$L47)/('NIR APA vkm'!$L31+'NIR APA vkm'!$L39+'NIR APA vkm'!$L47)</f>
        <v>2530.8219660279265</v>
      </c>
      <c r="T129" s="216">
        <f>(T81*'NIR APA vkm'!$L31+T89*'NIR APA vkm'!$L39+T97*'NIR APA vkm'!$L47)/('NIR APA vkm'!$L31+'NIR APA vkm'!$L39+'NIR APA vkm'!$L47)</f>
        <v>2528.4129333987507</v>
      </c>
      <c r="U129" s="216">
        <f>(U81*'NIR APA vkm'!$L31+U89*'NIR APA vkm'!$L39+U97*'NIR APA vkm'!$L47)/('NIR APA vkm'!$L31+'NIR APA vkm'!$L39+'NIR APA vkm'!$L47)</f>
        <v>2529.5095695059144</v>
      </c>
      <c r="V129" s="216">
        <f>(V81*'NIR APA vkm'!$L31+V89*'NIR APA vkm'!$L39+V97*'NIR APA vkm'!$L47)/('NIR APA vkm'!$L31+'NIR APA vkm'!$L39+'NIR APA vkm'!$L47)</f>
        <v>2533.465151900878</v>
      </c>
      <c r="W129" s="216">
        <f>(W81*'NIR APA vkm'!$L31+W89*'NIR APA vkm'!$L39+W97*'NIR APA vkm'!$L47)/('NIR APA vkm'!$L31+'NIR APA vkm'!$L39+'NIR APA vkm'!$L47)</f>
        <v>2533.1014349708062</v>
      </c>
      <c r="X129" s="216">
        <f>(X81*'NIR APA vkm'!$L31+X89*'NIR APA vkm'!$L39+X97*'NIR APA vkm'!$L47)/('NIR APA vkm'!$L31+'NIR APA vkm'!$L39+'NIR APA vkm'!$L47)</f>
        <v>2486.6981623333081</v>
      </c>
      <c r="Y129" s="216">
        <f>(Y81*'NIR APA vkm'!$L31+Y89*'NIR APA vkm'!$L39+Y97*'NIR APA vkm'!$L47)/('NIR APA vkm'!$L31+'NIR APA vkm'!$L39+'NIR APA vkm'!$L47)</f>
        <v>2.1960175739360936E-2</v>
      </c>
      <c r="Z129" s="216">
        <f>(Z81*'NIR APA vkm'!$L31+Z89*'NIR APA vkm'!$L39+Z97*'NIR APA vkm'!$L47)/('NIR APA vkm'!$L31+'NIR APA vkm'!$L39+'NIR APA vkm'!$L47)</f>
        <v>0.15509390998015476</v>
      </c>
      <c r="AA129" s="216">
        <f>(AA81*'NIR APA vkm'!$L31+AA89*'NIR APA vkm'!$L39+AA97*'NIR APA vkm'!$L47)/('NIR APA vkm'!$L31+'NIR APA vkm'!$L39+'NIR APA vkm'!$L47)</f>
        <v>547.31195913980275</v>
      </c>
      <c r="AB129" s="216">
        <f>(AB81*'NIR APA vkm'!$L31+AB89*'NIR APA vkm'!$L39+AB97*'NIR APA vkm'!$L47)/('NIR APA vkm'!$L31+'NIR APA vkm'!$L39+'NIR APA vkm'!$L47)</f>
        <v>547.56355365241905</v>
      </c>
      <c r="AC129" s="216">
        <f>(AC81*'NIR APA vkm'!$L31+AC89*'NIR APA vkm'!$L39+AC97*'NIR APA vkm'!$L47)/('NIR APA vkm'!$L31+'NIR APA vkm'!$L39+'NIR APA vkm'!$L47)</f>
        <v>547.04439281896202</v>
      </c>
      <c r="AD129" s="216">
        <f>(AD81*'NIR APA vkm'!$L31+AD89*'NIR APA vkm'!$L39+AD97*'NIR APA vkm'!$L47)/('NIR APA vkm'!$L31+'NIR APA vkm'!$L39+'NIR APA vkm'!$L47)</f>
        <v>547.27994782224744</v>
      </c>
      <c r="AE129" s="216">
        <f>(AE81*'NIR APA vkm'!$L31+AE89*'NIR APA vkm'!$L39+AE97*'NIR APA vkm'!$L47)/('NIR APA vkm'!$L31+'NIR APA vkm'!$L39+'NIR APA vkm'!$L47)</f>
        <v>548.1358899937178</v>
      </c>
      <c r="AF129" s="216">
        <f>(AF81*'NIR APA vkm'!$L31+AF89*'NIR APA vkm'!$L39+AF97*'NIR APA vkm'!$L47)/('NIR APA vkm'!$L31+'NIR APA vkm'!$L39+'NIR APA vkm'!$L47)</f>
        <v>548.05620316814316</v>
      </c>
      <c r="AG129" s="216">
        <f>(AG81*'NIR APA vkm'!$L31+AG89*'NIR APA vkm'!$L39+AG97*'NIR APA vkm'!$L47)/('NIR APA vkm'!$L31+'NIR APA vkm'!$L39+'NIR APA vkm'!$L47)</f>
        <v>538.03345256538</v>
      </c>
      <c r="AH129" s="216">
        <f>(AH81*'NIR APA vkm'!$L31+AH89*'NIR APA vkm'!$L39+AH97*'NIR APA vkm'!$L47)/('NIR APA vkm'!$L31+'NIR APA vkm'!$L39+'NIR APA vkm'!$L47)</f>
        <v>4.7203473286345984E-3</v>
      </c>
      <c r="AI129" s="216">
        <f>(AI81*'NIR APA vkm'!$L31+AI89*'NIR APA vkm'!$L39+AI97*'NIR APA vkm'!$L47)/('NIR APA vkm'!$L31+'NIR APA vkm'!$L39+'NIR APA vkm'!$L47)</f>
        <v>3.3504794446717931E-2</v>
      </c>
      <c r="AJ129" s="216">
        <f>(AJ81*'NIR APA vkm'!$L31+AJ89*'NIR APA vkm'!$L39+AJ97*'NIR APA vkm'!$L47)/('NIR APA vkm'!$L31+'NIR APA vkm'!$L39+'NIR APA vkm'!$L47)</f>
        <v>21.636574894560827</v>
      </c>
      <c r="AK129" t="s">
        <v>424</v>
      </c>
      <c r="AL129" t="s">
        <v>790</v>
      </c>
    </row>
    <row r="130" spans="1:38" ht="15.75" thickBot="1" x14ac:dyDescent="0.3">
      <c r="A130" s="4" t="s">
        <v>2</v>
      </c>
      <c r="B130" s="7" t="s">
        <v>16</v>
      </c>
      <c r="C130" s="5" t="s">
        <v>3</v>
      </c>
      <c r="D130" s="6" t="s">
        <v>8</v>
      </c>
      <c r="E130" s="6" t="str">
        <f t="shared" si="35"/>
        <v>Pesado de Passageiros M3: Geral : Gasóleo : E0</v>
      </c>
      <c r="F130" s="6" t="s">
        <v>55</v>
      </c>
      <c r="G130" s="6" t="s">
        <v>96</v>
      </c>
      <c r="H130" s="9">
        <f>IF(G130="MJ",INDEX(Tabela1[Energia (MJ/Qtd.)],MATCH(C130,Tabela1[Fuel],0)),IF(G130="GJ",INDEX(Tabela1[Energia (GJ/Qtd.)2],MATCH(C130,Tabela1[Fuel],0)),"XXX"))</f>
        <v>3.5868000000000004E-2</v>
      </c>
      <c r="I130" s="216">
        <f>(I2*'NIR APA vkm'!$L2+I50*'NIR APA vkm'!$L16)/('NIR APA vkm'!$L2+'NIR APA vkm'!$L16)</f>
        <v>69757.690566038407</v>
      </c>
      <c r="J130" s="216">
        <f>(J2*'NIR APA vkm'!$L2+J50*'NIR APA vkm'!$L16)/('NIR APA vkm'!$L2+'NIR APA vkm'!$L16)</f>
        <v>70164.605535026087</v>
      </c>
      <c r="K130" s="216">
        <f>(K2*'NIR APA vkm'!$L2+K50*'NIR APA vkm'!$L16)/('NIR APA vkm'!$L2+'NIR APA vkm'!$L16)</f>
        <v>69746.056960572401</v>
      </c>
      <c r="L130" s="216">
        <f>(L2*'NIR APA vkm'!$L2+L50*'NIR APA vkm'!$L16)/('NIR APA vkm'!$L2+'NIR APA vkm'!$L16)</f>
        <v>70179.669679123399</v>
      </c>
      <c r="M130" s="216">
        <f>(M2*'NIR APA vkm'!$L2+M50*'NIR APA vkm'!$L16)/('NIR APA vkm'!$L2+'NIR APA vkm'!$L16)</f>
        <v>69774.291502777123</v>
      </c>
      <c r="N130" s="216">
        <f>(N2*'NIR APA vkm'!$L2+N50*'NIR APA vkm'!$L16)/('NIR APA vkm'!$L2+'NIR APA vkm'!$L16)</f>
        <v>70119.16290128848</v>
      </c>
      <c r="O130" s="216">
        <f>(O2*'NIR APA vkm'!$L2+O50*'NIR APA vkm'!$L16)/('NIR APA vkm'!$L2+'NIR APA vkm'!$L16)</f>
        <v>69121.640778265064</v>
      </c>
      <c r="P130" s="216">
        <f>(P2*'NIR APA vkm'!$L2+P50*'NIR APA vkm'!$L16)/('NIR APA vkm'!$L2+'NIR APA vkm'!$L16)</f>
        <v>7.6344271855100425</v>
      </c>
      <c r="Q130" s="216">
        <f>(Q2*'NIR APA vkm'!$L2+Q50*'NIR APA vkm'!$L16)/('NIR APA vkm'!$L2+'NIR APA vkm'!$L16)</f>
        <v>1.5496310230681596</v>
      </c>
      <c r="R130" s="216">
        <f>(R2*'NIR APA vkm'!$L2+R50*'NIR APA vkm'!$L16)/('NIR APA vkm'!$L2+'NIR APA vkm'!$L16)</f>
        <v>2502.0688452226664</v>
      </c>
      <c r="S130" s="216">
        <f>(S2*'NIR APA vkm'!$L2+S50*'NIR APA vkm'!$L16)/('NIR APA vkm'!$L2+'NIR APA vkm'!$L16)</f>
        <v>2516.6640713303159</v>
      </c>
      <c r="T130" s="216">
        <f>(T2*'NIR APA vkm'!$L2+T50*'NIR APA vkm'!$L16)/('NIR APA vkm'!$L2+'NIR APA vkm'!$L16)</f>
        <v>2501.6515710618114</v>
      </c>
      <c r="U130" s="216">
        <f>(U2*'NIR APA vkm'!$L2+U50*'NIR APA vkm'!$L16)/('NIR APA vkm'!$L2+'NIR APA vkm'!$L16)</f>
        <v>2517.2043920507986</v>
      </c>
      <c r="V130" s="216">
        <f>(V2*'NIR APA vkm'!$L2+V50*'NIR APA vkm'!$L16)/('NIR APA vkm'!$L2+'NIR APA vkm'!$L16)</f>
        <v>2502.6642876216106</v>
      </c>
      <c r="W130" s="216">
        <f>(W2*'NIR APA vkm'!$L2+W50*'NIR APA vkm'!$L16)/('NIR APA vkm'!$L2+'NIR APA vkm'!$L16)</f>
        <v>2515.0341349434157</v>
      </c>
      <c r="X130" s="216">
        <f>(X2*'NIR APA vkm'!$L2+X50*'NIR APA vkm'!$L16)/('NIR APA vkm'!$L2+'NIR APA vkm'!$L16)</f>
        <v>2479.2550114348114</v>
      </c>
      <c r="Y130" s="216">
        <f>(Y2*'NIR APA vkm'!$L2+Y50*'NIR APA vkm'!$L16)/('NIR APA vkm'!$L2+'NIR APA vkm'!$L16)</f>
        <v>0.27383163428987428</v>
      </c>
      <c r="Z130" s="216">
        <f>(Z2*'NIR APA vkm'!$L2+Z50*'NIR APA vkm'!$L16)/('NIR APA vkm'!$L2+'NIR APA vkm'!$L16)</f>
        <v>5.5582165535408762E-2</v>
      </c>
      <c r="AA130" s="216">
        <f>(AA2*'NIR APA vkm'!$L2+AA50*'NIR APA vkm'!$L16)/('NIR APA vkm'!$L2+'NIR APA vkm'!$L16)</f>
        <v>1470.4255662885987</v>
      </c>
      <c r="AB130" s="216">
        <f>(AB2*'NIR APA vkm'!$L2+AB50*'NIR APA vkm'!$L16)/('NIR APA vkm'!$L2+'NIR APA vkm'!$L16)</f>
        <v>1479.0126199553251</v>
      </c>
      <c r="AC130" s="216">
        <f>(AC2*'NIR APA vkm'!$L2+AC50*'NIR APA vkm'!$L16)/('NIR APA vkm'!$L2+'NIR APA vkm'!$L16)</f>
        <v>1470.2016770834707</v>
      </c>
      <c r="AD130" s="216">
        <f>(AD2*'NIR APA vkm'!$L2+AD50*'NIR APA vkm'!$L16)/('NIR APA vkm'!$L2+'NIR APA vkm'!$L16)</f>
        <v>1479.3548301604576</v>
      </c>
      <c r="AE130" s="216">
        <f>(AE2*'NIR APA vkm'!$L2+AE50*'NIR APA vkm'!$L16)/('NIR APA vkm'!$L2+'NIR APA vkm'!$L16)</f>
        <v>1470.7083532373133</v>
      </c>
      <c r="AF130" s="216">
        <f>(AF2*'NIR APA vkm'!$L2+AF50*'NIR APA vkm'!$L16)/('NIR APA vkm'!$L2+'NIR APA vkm'!$L16)</f>
        <v>1478.0104268271098</v>
      </c>
      <c r="AG130" s="216">
        <f>(AG2*'NIR APA vkm'!$L2+AG50*'NIR APA vkm'!$L16)/('NIR APA vkm'!$L2+'NIR APA vkm'!$L16)</f>
        <v>1457.7406545193364</v>
      </c>
      <c r="AH130" s="216">
        <f>(AH2*'NIR APA vkm'!$L2+AH50*'NIR APA vkm'!$L16)/('NIR APA vkm'!$L2+'NIR APA vkm'!$L16)</f>
        <v>0.16110794871907244</v>
      </c>
      <c r="AI130" s="216">
        <f>(AI2*'NIR APA vkm'!$L2+AI50*'NIR APA vkm'!$L16)/('NIR APA vkm'!$L2+'NIR APA vkm'!$L16)</f>
        <v>0.03</v>
      </c>
      <c r="AJ130" s="216">
        <f>(AJ2*'NIR APA vkm'!$L2+AJ50*'NIR APA vkm'!$L16)/('NIR APA vkm'!$L2+'NIR APA vkm'!$L16)</f>
        <v>58.793758588433313</v>
      </c>
      <c r="AK130" t="s">
        <v>424</v>
      </c>
      <c r="AL130" t="s">
        <v>790</v>
      </c>
    </row>
    <row r="131" spans="1:38" ht="15.75" thickBot="1" x14ac:dyDescent="0.3">
      <c r="A131" s="4" t="s">
        <v>2</v>
      </c>
      <c r="B131" s="7" t="s">
        <v>16</v>
      </c>
      <c r="C131" s="5" t="s">
        <v>3</v>
      </c>
      <c r="D131" s="6" t="s">
        <v>7</v>
      </c>
      <c r="E131" s="6" t="str">
        <f t="shared" si="35"/>
        <v>Pesado de Passageiros M3: Geral : Gasóleo : E1</v>
      </c>
      <c r="F131" s="6" t="s">
        <v>55</v>
      </c>
      <c r="G131" s="6" t="s">
        <v>96</v>
      </c>
      <c r="H131" s="9">
        <f>IF(G131="MJ",INDEX(Tabela1[Energia (MJ/Qtd.)],MATCH(C131,Tabela1[Fuel],0)),IF(G131="GJ",INDEX(Tabela1[Energia (GJ/Qtd.)2],MATCH(C131,Tabela1[Fuel],0)),"XXX"))</f>
        <v>3.5868000000000004E-2</v>
      </c>
      <c r="I131" s="216">
        <f>(I3*'NIR APA vkm'!$L3+I51*'NIR APA vkm'!$L17)/('NIR APA vkm'!$L3+'NIR APA vkm'!$L17)</f>
        <v>69545.115900907127</v>
      </c>
      <c r="J131" s="216">
        <f>(J3*'NIR APA vkm'!$L3+J51*'NIR APA vkm'!$L17)/('NIR APA vkm'!$L3+'NIR APA vkm'!$L17)</f>
        <v>70003.037420068911</v>
      </c>
      <c r="K131" s="216">
        <f>(K3*'NIR APA vkm'!$L3+K51*'NIR APA vkm'!$L17)/('NIR APA vkm'!$L3+'NIR APA vkm'!$L17)</f>
        <v>69540.86893335206</v>
      </c>
      <c r="L131" s="216">
        <f>(L3*'NIR APA vkm'!$L3+L51*'NIR APA vkm'!$L17)/('NIR APA vkm'!$L3+'NIR APA vkm'!$L17)</f>
        <v>70029.940362093053</v>
      </c>
      <c r="M131" s="216">
        <f>(M3*'NIR APA vkm'!$L3+M51*'NIR APA vkm'!$L17)/('NIR APA vkm'!$L3+'NIR APA vkm'!$L17)</f>
        <v>69536.15743191207</v>
      </c>
      <c r="N131" s="216">
        <f>(N3*'NIR APA vkm'!$L3+N51*'NIR APA vkm'!$L17)/('NIR APA vkm'!$L3+'NIR APA vkm'!$L17)</f>
        <v>69934.20877220617</v>
      </c>
      <c r="O131" s="216">
        <f>(O3*'NIR APA vkm'!$L3+O51*'NIR APA vkm'!$L17)/('NIR APA vkm'!$L3+'NIR APA vkm'!$L17)</f>
        <v>69131.169979829923</v>
      </c>
      <c r="P131" s="216">
        <f>(P3*'NIR APA vkm'!$L3+P51*'NIR APA vkm'!$L17)/('NIR APA vkm'!$L3+'NIR APA vkm'!$L17)</f>
        <v>8.5913981081007726</v>
      </c>
      <c r="Q131" s="216">
        <f>(Q3*'NIR APA vkm'!$L3+Q51*'NIR APA vkm'!$L17)/('NIR APA vkm'!$L3+'NIR APA vkm'!$L17)</f>
        <v>0.63826342073701325</v>
      </c>
      <c r="R131" s="216">
        <f>(R3*'NIR APA vkm'!$L3+R51*'NIR APA vkm'!$L17)/('NIR APA vkm'!$L3+'NIR APA vkm'!$L17)</f>
        <v>2494.4442171337373</v>
      </c>
      <c r="S131" s="216">
        <f>(S3*'NIR APA vkm'!$L3+S51*'NIR APA vkm'!$L17)/('NIR APA vkm'!$L3+'NIR APA vkm'!$L17)</f>
        <v>2510.8689461830318</v>
      </c>
      <c r="T131" s="216">
        <f>(T3*'NIR APA vkm'!$L3+T51*'NIR APA vkm'!$L17)/('NIR APA vkm'!$L3+'NIR APA vkm'!$L17)</f>
        <v>2494.2918869014716</v>
      </c>
      <c r="U131" s="216">
        <f>(U3*'NIR APA vkm'!$L3+U51*'NIR APA vkm'!$L17)/('NIR APA vkm'!$L3+'NIR APA vkm'!$L17)</f>
        <v>2511.8339009075539</v>
      </c>
      <c r="V131" s="216">
        <f>(V3*'NIR APA vkm'!$L3+V51*'NIR APA vkm'!$L17)/('NIR APA vkm'!$L3+'NIR APA vkm'!$L17)</f>
        <v>2494.1228947678223</v>
      </c>
      <c r="W131" s="216">
        <f>(W3*'NIR APA vkm'!$L3+W51*'NIR APA vkm'!$L17)/('NIR APA vkm'!$L3+'NIR APA vkm'!$L17)</f>
        <v>2508.4002002414909</v>
      </c>
      <c r="X131" s="216">
        <f>(X3*'NIR APA vkm'!$L3+X51*'NIR APA vkm'!$L17)/('NIR APA vkm'!$L3+'NIR APA vkm'!$L17)</f>
        <v>2479.5968048365398</v>
      </c>
      <c r="Y131" s="216">
        <f>(Y3*'NIR APA vkm'!$L3+Y51*'NIR APA vkm'!$L17)/('NIR APA vkm'!$L3+'NIR APA vkm'!$L17)</f>
        <v>0.30815626734135859</v>
      </c>
      <c r="Z131" s="216">
        <f>(Z3*'NIR APA vkm'!$L3+Z51*'NIR APA vkm'!$L17)/('NIR APA vkm'!$L3+'NIR APA vkm'!$L17)</f>
        <v>2.2893232374995194E-2</v>
      </c>
      <c r="AA131" s="216">
        <f>(AA3*'NIR APA vkm'!$L3+AA51*'NIR APA vkm'!$L17)/('NIR APA vkm'!$L3+'NIR APA vkm'!$L17)</f>
        <v>1290.5258581610301</v>
      </c>
      <c r="AB131" s="216">
        <f>(AB3*'NIR APA vkm'!$L3+AB51*'NIR APA vkm'!$L17)/('NIR APA vkm'!$L3+'NIR APA vkm'!$L17)</f>
        <v>1299.0712092642805</v>
      </c>
      <c r="AC131" s="216">
        <f>(AC3*'NIR APA vkm'!$L3+AC51*'NIR APA vkm'!$L17)/('NIR APA vkm'!$L3+'NIR APA vkm'!$L17)</f>
        <v>1290.4505294186242</v>
      </c>
      <c r="AD131" s="216">
        <f>(AD3*'NIR APA vkm'!$L3+AD51*'NIR APA vkm'!$L17)/('NIR APA vkm'!$L3+'NIR APA vkm'!$L17)</f>
        <v>1299.5776648454571</v>
      </c>
      <c r="AE131" s="216">
        <f>(AE3*'NIR APA vkm'!$L3+AE51*'NIR APA vkm'!$L17)/('NIR APA vkm'!$L3+'NIR APA vkm'!$L17)</f>
        <v>1290.3464181549766</v>
      </c>
      <c r="AF131" s="216">
        <f>(AF3*'NIR APA vkm'!$L3+AF51*'NIR APA vkm'!$L17)/('NIR APA vkm'!$L3+'NIR APA vkm'!$L17)</f>
        <v>1297.7789369192753</v>
      </c>
      <c r="AG131" s="216">
        <f>(AG3*'NIR APA vkm'!$L3+AG51*'NIR APA vkm'!$L17)/('NIR APA vkm'!$L3+'NIR APA vkm'!$L17)</f>
        <v>1282.9350714601862</v>
      </c>
      <c r="AH131" s="216">
        <f>(AH3*'NIR APA vkm'!$L3+AH51*'NIR APA vkm'!$L17)/('NIR APA vkm'!$L3+'NIR APA vkm'!$L17)</f>
        <v>0.16032553664634688</v>
      </c>
      <c r="AI131" s="216">
        <f>(AI3*'NIR APA vkm'!$L3+AI51*'NIR APA vkm'!$L17)/('NIR APA vkm'!$L3+'NIR APA vkm'!$L17)</f>
        <v>1.1420162008831416E-2</v>
      </c>
      <c r="AJ131" s="216">
        <f>(AJ3*'NIR APA vkm'!$L3+AJ51*'NIR APA vkm'!$L17)/('NIR APA vkm'!$L3+'NIR APA vkm'!$L17)</f>
        <v>51.736397801529158</v>
      </c>
      <c r="AK131" t="s">
        <v>424</v>
      </c>
      <c r="AL131" t="s">
        <v>790</v>
      </c>
    </row>
    <row r="132" spans="1:38" ht="15.75" thickBot="1" x14ac:dyDescent="0.3">
      <c r="A132" s="4" t="s">
        <v>2</v>
      </c>
      <c r="B132" s="7" t="s">
        <v>16</v>
      </c>
      <c r="C132" s="5" t="s">
        <v>3</v>
      </c>
      <c r="D132" s="6" t="s">
        <v>9</v>
      </c>
      <c r="E132" s="6" t="str">
        <f t="shared" si="35"/>
        <v>Pesado de Passageiros M3: Geral : Gasóleo : E2</v>
      </c>
      <c r="F132" s="6" t="s">
        <v>55</v>
      </c>
      <c r="G132" s="6" t="s">
        <v>96</v>
      </c>
      <c r="H132" s="9">
        <f>IF(G132="MJ",INDEX(Tabela1[Energia (MJ/Qtd.)],MATCH(C132,Tabela1[Fuel],0)),IF(G132="GJ",INDEX(Tabela1[Energia (GJ/Qtd.)2],MATCH(C132,Tabela1[Fuel],0)),"XXX"))</f>
        <v>3.5868000000000004E-2</v>
      </c>
      <c r="I132" s="216">
        <f>(I4*'NIR APA vkm'!$L4+I52*'NIR APA vkm'!$L18)/('NIR APA vkm'!$L4+'NIR APA vkm'!$L18)</f>
        <v>69481.961619137393</v>
      </c>
      <c r="J132" s="216">
        <f>(J4*'NIR APA vkm'!$L4+J52*'NIR APA vkm'!$L18)/('NIR APA vkm'!$L4+'NIR APA vkm'!$L18)</f>
        <v>69793.602953661757</v>
      </c>
      <c r="K132" s="216">
        <f>(K4*'NIR APA vkm'!$L4+K52*'NIR APA vkm'!$L18)/('NIR APA vkm'!$L4+'NIR APA vkm'!$L18)</f>
        <v>69477.324265215968</v>
      </c>
      <c r="L132" s="216">
        <f>(L4*'NIR APA vkm'!$L4+L52*'NIR APA vkm'!$L18)/('NIR APA vkm'!$L4+'NIR APA vkm'!$L18)</f>
        <v>69809.946482490021</v>
      </c>
      <c r="M132" s="216">
        <f>(M4*'NIR APA vkm'!$L4+M52*'NIR APA vkm'!$L18)/('NIR APA vkm'!$L4+'NIR APA vkm'!$L18)</f>
        <v>69481.324420440418</v>
      </c>
      <c r="N132" s="216">
        <f>(N4*'NIR APA vkm'!$L4+N52*'NIR APA vkm'!$L18)/('NIR APA vkm'!$L4+'NIR APA vkm'!$L18)</f>
        <v>69750.255297325974</v>
      </c>
      <c r="O132" s="216">
        <f>(O4*'NIR APA vkm'!$L4+O52*'NIR APA vkm'!$L18)/('NIR APA vkm'!$L4+'NIR APA vkm'!$L18)</f>
        <v>69140.629941197971</v>
      </c>
      <c r="P132" s="216">
        <f>(P4*'NIR APA vkm'!$L4+P52*'NIR APA vkm'!$L18)/('NIR APA vkm'!$L4+'NIR APA vkm'!$L18)</f>
        <v>5.8469293531777495</v>
      </c>
      <c r="Q132" s="216">
        <f>(Q4*'NIR APA vkm'!$L4+Q52*'NIR APA vkm'!$L18)/('NIR APA vkm'!$L4+'NIR APA vkm'!$L18)</f>
        <v>0.65275585709062678</v>
      </c>
      <c r="R132" s="216">
        <f>(R4*'NIR APA vkm'!$L4+R52*'NIR APA vkm'!$L18)/('NIR APA vkm'!$L4+'NIR APA vkm'!$L18)</f>
        <v>2492.1789993552202</v>
      </c>
      <c r="S132" s="216">
        <f>(S4*'NIR APA vkm'!$L4+S52*'NIR APA vkm'!$L18)/('NIR APA vkm'!$L4+'NIR APA vkm'!$L18)</f>
        <v>2503.3569507419402</v>
      </c>
      <c r="T132" s="216">
        <f>(T4*'NIR APA vkm'!$L4+T52*'NIR APA vkm'!$L18)/('NIR APA vkm'!$L4+'NIR APA vkm'!$L18)</f>
        <v>2492.0126667447666</v>
      </c>
      <c r="U132" s="216">
        <f>(U4*'NIR APA vkm'!$L4+U52*'NIR APA vkm'!$L18)/('NIR APA vkm'!$L4+'NIR APA vkm'!$L18)</f>
        <v>2503.943160433952</v>
      </c>
      <c r="V132" s="216">
        <f>(V4*'NIR APA vkm'!$L4+V52*'NIR APA vkm'!$L18)/('NIR APA vkm'!$L4+'NIR APA vkm'!$L18)</f>
        <v>2492.1561443123578</v>
      </c>
      <c r="W132" s="216">
        <f>(W4*'NIR APA vkm'!$L4+W52*'NIR APA vkm'!$L18)/('NIR APA vkm'!$L4+'NIR APA vkm'!$L18)</f>
        <v>2501.8021570044884</v>
      </c>
      <c r="X132" s="216">
        <f>(X4*'NIR APA vkm'!$L4+X52*'NIR APA vkm'!$L18)/('NIR APA vkm'!$L4+'NIR APA vkm'!$L18)</f>
        <v>2479.9361147308891</v>
      </c>
      <c r="Y132" s="216">
        <f>(Y4*'NIR APA vkm'!$L4+Y52*'NIR APA vkm'!$L18)/('NIR APA vkm'!$L4+'NIR APA vkm'!$L18)</f>
        <v>0.20971766203977954</v>
      </c>
      <c r="Z132" s="216">
        <f>(Z4*'NIR APA vkm'!$L4+Z52*'NIR APA vkm'!$L18)/('NIR APA vkm'!$L4+'NIR APA vkm'!$L18)</f>
        <v>2.3413047082126603E-2</v>
      </c>
      <c r="AA132" s="216">
        <f>(AA4*'NIR APA vkm'!$L4+AA52*'NIR APA vkm'!$L18)/('NIR APA vkm'!$L4+'NIR APA vkm'!$L18)</f>
        <v>1238.1559732423209</v>
      </c>
      <c r="AB132" s="216">
        <f>(AB4*'NIR APA vkm'!$L4+AB52*'NIR APA vkm'!$L18)/('NIR APA vkm'!$L4+'NIR APA vkm'!$L18)</f>
        <v>1243.7564243018833</v>
      </c>
      <c r="AC132" s="216">
        <f>(AC4*'NIR APA vkm'!$L4+AC52*'NIR APA vkm'!$L18)/('NIR APA vkm'!$L4+'NIR APA vkm'!$L18)</f>
        <v>1238.0752031648269</v>
      </c>
      <c r="AD132" s="216">
        <f>(AD4*'NIR APA vkm'!$L4+AD52*'NIR APA vkm'!$L18)/('NIR APA vkm'!$L4+'NIR APA vkm'!$L18)</f>
        <v>1244.0530188142732</v>
      </c>
      <c r="AE132" s="216">
        <f>(AE4*'NIR APA vkm'!$L4+AE52*'NIR APA vkm'!$L18)/('NIR APA vkm'!$L4+'NIR APA vkm'!$L18)</f>
        <v>1238.136500426486</v>
      </c>
      <c r="AF132" s="216">
        <f>(AF4*'NIR APA vkm'!$L4+AF52*'NIR APA vkm'!$L18)/('NIR APA vkm'!$L4+'NIR APA vkm'!$L18)</f>
        <v>1242.9722972985965</v>
      </c>
      <c r="AG132" s="216">
        <f>(AG4*'NIR APA vkm'!$L4+AG52*'NIR APA vkm'!$L18)/('NIR APA vkm'!$L4+'NIR APA vkm'!$L18)</f>
        <v>1232.1095606930044</v>
      </c>
      <c r="AH132" s="216">
        <f>(AH4*'NIR APA vkm'!$L4+AH52*'NIR APA vkm'!$L18)/('NIR APA vkm'!$L4+'NIR APA vkm'!$L18)</f>
        <v>0.10507412869722423</v>
      </c>
      <c r="AI132" s="216">
        <f>(AI4*'NIR APA vkm'!$L4+AI52*'NIR APA vkm'!$L18)/('NIR APA vkm'!$L4+'NIR APA vkm'!$L18)</f>
        <v>1.1409686295472564E-2</v>
      </c>
      <c r="AJ132" s="216">
        <f>(AJ4*'NIR APA vkm'!$L4+AJ52*'NIR APA vkm'!$L18)/('NIR APA vkm'!$L4+'NIR APA vkm'!$L18)</f>
        <v>49.679952957317028</v>
      </c>
      <c r="AK132" t="s">
        <v>424</v>
      </c>
      <c r="AL132" t="s">
        <v>790</v>
      </c>
    </row>
    <row r="133" spans="1:38" ht="15.75" thickBot="1" x14ac:dyDescent="0.3">
      <c r="A133" s="4" t="s">
        <v>2</v>
      </c>
      <c r="B133" s="7" t="s">
        <v>16</v>
      </c>
      <c r="C133" s="5" t="s">
        <v>3</v>
      </c>
      <c r="D133" s="6" t="s">
        <v>10</v>
      </c>
      <c r="E133" s="6" t="str">
        <f t="shared" si="35"/>
        <v>Pesado de Passageiros M3: Geral : Gasóleo : E3</v>
      </c>
      <c r="F133" s="6" t="s">
        <v>55</v>
      </c>
      <c r="G133" s="6" t="s">
        <v>96</v>
      </c>
      <c r="H133" s="9">
        <f>IF(G133="MJ",INDEX(Tabela1[Energia (MJ/Qtd.)],MATCH(C133,Tabela1[Fuel],0)),IF(G133="GJ",INDEX(Tabela1[Energia (GJ/Qtd.)2],MATCH(C133,Tabela1[Fuel],0)),"XXX"))</f>
        <v>3.5868000000000004E-2</v>
      </c>
      <c r="I133" s="216">
        <f>(I5*'NIR APA vkm'!$L5+I53*'NIR APA vkm'!$L19)/('NIR APA vkm'!$L5+'NIR APA vkm'!$L19)</f>
        <v>69376.224993813827</v>
      </c>
      <c r="J133" s="216">
        <f>(J5*'NIR APA vkm'!$L5+J53*'NIR APA vkm'!$L19)/('NIR APA vkm'!$L5+'NIR APA vkm'!$L19)</f>
        <v>69652.49211809269</v>
      </c>
      <c r="K133" s="216">
        <f>(K5*'NIR APA vkm'!$L5+K53*'NIR APA vkm'!$L19)/('NIR APA vkm'!$L5+'NIR APA vkm'!$L19)</f>
        <v>69374.089347674861</v>
      </c>
      <c r="L133" s="216">
        <f>(L5*'NIR APA vkm'!$L5+L53*'NIR APA vkm'!$L19)/('NIR APA vkm'!$L5+'NIR APA vkm'!$L19)</f>
        <v>69669.20274359308</v>
      </c>
      <c r="M133" s="216">
        <f>(M5*'NIR APA vkm'!$L5+M53*'NIR APA vkm'!$L19)/('NIR APA vkm'!$L5+'NIR APA vkm'!$L19)</f>
        <v>69369.4872335127</v>
      </c>
      <c r="N133" s="216">
        <f>(N5*'NIR APA vkm'!$L5+N53*'NIR APA vkm'!$L19)/('NIR APA vkm'!$L5+'NIR APA vkm'!$L19)</f>
        <v>69610.114177377938</v>
      </c>
      <c r="O133" s="216">
        <f>(O5*'NIR APA vkm'!$L5+O53*'NIR APA vkm'!$L19)/('NIR APA vkm'!$L5+'NIR APA vkm'!$L19)</f>
        <v>69141.045612868053</v>
      </c>
      <c r="P133" s="216">
        <f>(P5*'NIR APA vkm'!$L5+P53*'NIR APA vkm'!$L19)/('NIR APA vkm'!$L5+'NIR APA vkm'!$L19)</f>
        <v>5.18324811029757</v>
      </c>
      <c r="Q133" s="216">
        <f>(Q5*'NIR APA vkm'!$L5+Q53*'NIR APA vkm'!$L19)/('NIR APA vkm'!$L5+'NIR APA vkm'!$L19)</f>
        <v>0.33174636874902186</v>
      </c>
      <c r="R133" s="216">
        <f>(R5*'NIR APA vkm'!$L5+R53*'NIR APA vkm'!$L19)/('NIR APA vkm'!$L5+'NIR APA vkm'!$L19)</f>
        <v>2488.3864380781151</v>
      </c>
      <c r="S133" s="216">
        <f>(S5*'NIR APA vkm'!$L5+S53*'NIR APA vkm'!$L19)/('NIR APA vkm'!$L5+'NIR APA vkm'!$L19)</f>
        <v>2498.2955872917491</v>
      </c>
      <c r="T133" s="216">
        <f>(T5*'NIR APA vkm'!$L5+T53*'NIR APA vkm'!$L19)/('NIR APA vkm'!$L5+'NIR APA vkm'!$L19)</f>
        <v>2488.3098367224029</v>
      </c>
      <c r="U133" s="216">
        <f>(U5*'NIR APA vkm'!$L5+U53*'NIR APA vkm'!$L19)/('NIR APA vkm'!$L5+'NIR APA vkm'!$L19)</f>
        <v>2498.8949640071974</v>
      </c>
      <c r="V133" s="216">
        <f>(V5*'NIR APA vkm'!$L5+V53*'NIR APA vkm'!$L19)/('NIR APA vkm'!$L5+'NIR APA vkm'!$L19)</f>
        <v>2488.1447680916335</v>
      </c>
      <c r="W133" s="216">
        <f>(W5*'NIR APA vkm'!$L5+W53*'NIR APA vkm'!$L19)/('NIR APA vkm'!$L5+'NIR APA vkm'!$L19)</f>
        <v>2496.7755753141919</v>
      </c>
      <c r="X133" s="216">
        <f>(X5*'NIR APA vkm'!$L5+X53*'NIR APA vkm'!$L19)/('NIR APA vkm'!$L5+'NIR APA vkm'!$L19)</f>
        <v>2479.9510240423515</v>
      </c>
      <c r="Y133" s="216">
        <f>(Y5*'NIR APA vkm'!$L5+Y53*'NIR APA vkm'!$L19)/('NIR APA vkm'!$L5+'NIR APA vkm'!$L19)</f>
        <v>0.18591274322015325</v>
      </c>
      <c r="Z133" s="216">
        <f>(Z5*'NIR APA vkm'!$L5+Z53*'NIR APA vkm'!$L19)/('NIR APA vkm'!$L5+'NIR APA vkm'!$L19)</f>
        <v>1.1899078754289921E-2</v>
      </c>
      <c r="AA133" s="216">
        <f>(AA5*'NIR APA vkm'!$L5+AA53*'NIR APA vkm'!$L19)/('NIR APA vkm'!$L5+'NIR APA vkm'!$L19)</f>
        <v>1272.3660719626273</v>
      </c>
      <c r="AB133" s="216">
        <f>(AB5*'NIR APA vkm'!$L5+AB53*'NIR APA vkm'!$L19)/('NIR APA vkm'!$L5+'NIR APA vkm'!$L19)</f>
        <v>1277.4681797800433</v>
      </c>
      <c r="AC133" s="216">
        <f>(AC5*'NIR APA vkm'!$L5+AC53*'NIR APA vkm'!$L19)/('NIR APA vkm'!$L5+'NIR APA vkm'!$L19)</f>
        <v>1272.3291487345948</v>
      </c>
      <c r="AD133" s="216">
        <f>(AD5*'NIR APA vkm'!$L5+AD53*'NIR APA vkm'!$L19)/('NIR APA vkm'!$L5+'NIR APA vkm'!$L19)</f>
        <v>1277.7796246865319</v>
      </c>
      <c r="AE133" s="216">
        <f>(AE5*'NIR APA vkm'!$L5+AE53*'NIR APA vkm'!$L19)/('NIR APA vkm'!$L5+'NIR APA vkm'!$L19)</f>
        <v>1272.233770296428</v>
      </c>
      <c r="AF133" s="216">
        <f>(AF5*'NIR APA vkm'!$L5+AF53*'NIR APA vkm'!$L19)/('NIR APA vkm'!$L5+'NIR APA vkm'!$L19)</f>
        <v>1276.6805070924543</v>
      </c>
      <c r="AG133" s="216">
        <f>(AG5*'NIR APA vkm'!$L5+AG53*'NIR APA vkm'!$L19)/('NIR APA vkm'!$L5+'NIR APA vkm'!$L19)</f>
        <v>1268.1086981187279</v>
      </c>
      <c r="AH133" s="216">
        <f>(AH5*'NIR APA vkm'!$L5+AH53*'NIR APA vkm'!$L19)/('NIR APA vkm'!$L5+'NIR APA vkm'!$L19)</f>
        <v>9.5724349294860539E-2</v>
      </c>
      <c r="AI133" s="216">
        <f>(AI5*'NIR APA vkm'!$L5+AI53*'NIR APA vkm'!$L19)/('NIR APA vkm'!$L5+'NIR APA vkm'!$L19)</f>
        <v>5.8119578702290455E-3</v>
      </c>
      <c r="AJ133" s="216">
        <f>(AJ5*'NIR APA vkm'!$L5+AJ53*'NIR APA vkm'!$L19)/('NIR APA vkm'!$L5+'NIR APA vkm'!$L19)</f>
        <v>51.131244578039002</v>
      </c>
      <c r="AK133" t="s">
        <v>424</v>
      </c>
      <c r="AL133" t="s">
        <v>790</v>
      </c>
    </row>
    <row r="134" spans="1:38" ht="15.75" thickBot="1" x14ac:dyDescent="0.3">
      <c r="A134" s="4" t="s">
        <v>2</v>
      </c>
      <c r="B134" s="7" t="s">
        <v>16</v>
      </c>
      <c r="C134" s="5" t="s">
        <v>3</v>
      </c>
      <c r="D134" s="6" t="s">
        <v>4</v>
      </c>
      <c r="E134" s="6" t="str">
        <f t="shared" si="35"/>
        <v>Pesado de Passageiros M3: Geral : Gasóleo : E4</v>
      </c>
      <c r="F134" s="6" t="s">
        <v>55</v>
      </c>
      <c r="G134" s="6" t="s">
        <v>96</v>
      </c>
      <c r="H134" s="9">
        <f>IF(G134="MJ",INDEX(Tabela1[Energia (MJ/Qtd.)],MATCH(C134,Tabela1[Fuel],0)),IF(G134="GJ",INDEX(Tabela1[Energia (GJ/Qtd.)2],MATCH(C134,Tabela1[Fuel],0)),"XXX"))</f>
        <v>3.5868000000000004E-2</v>
      </c>
      <c r="I134" s="216">
        <f>(I6*'NIR APA vkm'!$L6+I54*'NIR APA vkm'!$L20)/('NIR APA vkm'!$L6+'NIR APA vkm'!$L20)</f>
        <v>69721.91566164761</v>
      </c>
      <c r="J134" s="216">
        <f>(J6*'NIR APA vkm'!$L6+J54*'NIR APA vkm'!$L20)/('NIR APA vkm'!$L6+'NIR APA vkm'!$L20)</f>
        <v>69737.978924323848</v>
      </c>
      <c r="K134" s="216">
        <f>(K6*'NIR APA vkm'!$L6+K54*'NIR APA vkm'!$L20)/('NIR APA vkm'!$L6+'NIR APA vkm'!$L20)</f>
        <v>69715.364196268492</v>
      </c>
      <c r="L134" s="216">
        <f>(L6*'NIR APA vkm'!$L6+L54*'NIR APA vkm'!$L20)/('NIR APA vkm'!$L6+'NIR APA vkm'!$L20)</f>
        <v>69731.719844367428</v>
      </c>
      <c r="M134" s="216">
        <f>(M6*'NIR APA vkm'!$L6+M54*'NIR APA vkm'!$L20)/('NIR APA vkm'!$L6+'NIR APA vkm'!$L20)</f>
        <v>69741.609184349945</v>
      </c>
      <c r="N134" s="216">
        <f>(N6*'NIR APA vkm'!$L6+N54*'NIR APA vkm'!$L20)/('NIR APA vkm'!$L6+'NIR APA vkm'!$L20)</f>
        <v>69748.369484273702</v>
      </c>
      <c r="O134" s="216">
        <f>(O6*'NIR APA vkm'!$L6+O54*'NIR APA vkm'!$L20)/('NIR APA vkm'!$L6+'NIR APA vkm'!$L20)</f>
        <v>69488.910115481209</v>
      </c>
      <c r="P134" s="216">
        <f>(P6*'NIR APA vkm'!$L6+P54*'NIR APA vkm'!$L20)/('NIR APA vkm'!$L6+'NIR APA vkm'!$L20)</f>
        <v>0.30137453426316752</v>
      </c>
      <c r="Q134" s="216">
        <f>(Q6*'NIR APA vkm'!$L6+Q54*'NIR APA vkm'!$L20)/('NIR APA vkm'!$L6+'NIR APA vkm'!$L20)</f>
        <v>0.82270035406758812</v>
      </c>
      <c r="R134" s="216">
        <f>(R6*'NIR APA vkm'!$L6+R54*'NIR APA vkm'!$L20)/('NIR APA vkm'!$L6+'NIR APA vkm'!$L20)</f>
        <v>2500.7856709519774</v>
      </c>
      <c r="S134" s="216">
        <f>(S6*'NIR APA vkm'!$L6+S54*'NIR APA vkm'!$L20)/('NIR APA vkm'!$L6+'NIR APA vkm'!$L20)</f>
        <v>2501.3618280576479</v>
      </c>
      <c r="T134" s="216">
        <f>(T6*'NIR APA vkm'!$L6+T54*'NIR APA vkm'!$L20)/('NIR APA vkm'!$L6+'NIR APA vkm'!$L20)</f>
        <v>2500.550682991759</v>
      </c>
      <c r="U134" s="216">
        <f>(U6*'NIR APA vkm'!$L6+U54*'NIR APA vkm'!$L20)/('NIR APA vkm'!$L6+'NIR APA vkm'!$L20)</f>
        <v>2501.1373273777713</v>
      </c>
      <c r="V134" s="216">
        <f>(V6*'NIR APA vkm'!$L6+V54*'NIR APA vkm'!$L20)/('NIR APA vkm'!$L6+'NIR APA vkm'!$L20)</f>
        <v>2501.492038224264</v>
      </c>
      <c r="W134" s="216">
        <f>(W6*'NIR APA vkm'!$L6+W54*'NIR APA vkm'!$L20)/('NIR APA vkm'!$L6+'NIR APA vkm'!$L20)</f>
        <v>2501.7345166619298</v>
      </c>
      <c r="X134" s="216">
        <f>(X6*'NIR APA vkm'!$L6+X54*'NIR APA vkm'!$L20)/('NIR APA vkm'!$L6+'NIR APA vkm'!$L20)</f>
        <v>2492.4282280220805</v>
      </c>
      <c r="Y134" s="216">
        <f>(Y6*'NIR APA vkm'!$L6+Y54*'NIR APA vkm'!$L20)/('NIR APA vkm'!$L6+'NIR APA vkm'!$L20)</f>
        <v>1.0809701794951294E-2</v>
      </c>
      <c r="Z134" s="216">
        <f>(Z6*'NIR APA vkm'!$L6+Z54*'NIR APA vkm'!$L20)/('NIR APA vkm'!$L6+'NIR APA vkm'!$L20)</f>
        <v>2.9508616299696255E-2</v>
      </c>
      <c r="AA134" s="216">
        <f>(AA6*'NIR APA vkm'!$L6+AA54*'NIR APA vkm'!$L20)/('NIR APA vkm'!$L6+'NIR APA vkm'!$L20)</f>
        <v>1131.3262415774288</v>
      </c>
      <c r="AB134" s="216">
        <f>(AB6*'NIR APA vkm'!$L6+AB54*'NIR APA vkm'!$L20)/('NIR APA vkm'!$L6+'NIR APA vkm'!$L20)</f>
        <v>1131.5864226583517</v>
      </c>
      <c r="AC134" s="216">
        <f>(AC6*'NIR APA vkm'!$L6+AC54*'NIR APA vkm'!$L20)/('NIR APA vkm'!$L6+'NIR APA vkm'!$L20)</f>
        <v>1131.2244578718226</v>
      </c>
      <c r="AD134" s="216">
        <f>(AD6*'NIR APA vkm'!$L6+AD54*'NIR APA vkm'!$L20)/('NIR APA vkm'!$L6+'NIR APA vkm'!$L20)</f>
        <v>1131.4899163223008</v>
      </c>
      <c r="AE134" s="216">
        <f>(AE6*'NIR APA vkm'!$L6+AE54*'NIR APA vkm'!$L20)/('NIR APA vkm'!$L6+'NIR APA vkm'!$L20)</f>
        <v>1131.6316849154803</v>
      </c>
      <c r="AF134" s="216">
        <f>(AF6*'NIR APA vkm'!$L6+AF54*'NIR APA vkm'!$L20)/('NIR APA vkm'!$L6+'NIR APA vkm'!$L20)</f>
        <v>1131.7460570540236</v>
      </c>
      <c r="AG134" s="216">
        <f>(AG6*'NIR APA vkm'!$L6+AG54*'NIR APA vkm'!$L20)/('NIR APA vkm'!$L6+'NIR APA vkm'!$L20)</f>
        <v>1127.700022340382</v>
      </c>
      <c r="AH134" s="216">
        <f>(AH6*'NIR APA vkm'!$L6+AH54*'NIR APA vkm'!$L20)/('NIR APA vkm'!$L6+'NIR APA vkm'!$L20)</f>
        <v>4.8814461711590576E-3</v>
      </c>
      <c r="AI134" s="216">
        <f>(AI6*'NIR APA vkm'!$L6+AI54*'NIR APA vkm'!$L20)/('NIR APA vkm'!$L6+'NIR APA vkm'!$L20)</f>
        <v>1.2783981277917312E-2</v>
      </c>
      <c r="AJ134" s="216">
        <f>(AJ6*'NIR APA vkm'!$L6+AJ54*'NIR APA vkm'!$L20)/('NIR APA vkm'!$L6+'NIR APA vkm'!$L20)</f>
        <v>45.242030428052537</v>
      </c>
      <c r="AK134" t="s">
        <v>424</v>
      </c>
      <c r="AL134" t="s">
        <v>790</v>
      </c>
    </row>
    <row r="135" spans="1:38" ht="15.75" thickBot="1" x14ac:dyDescent="0.3">
      <c r="A135" s="4" t="s">
        <v>2</v>
      </c>
      <c r="B135" s="7" t="s">
        <v>16</v>
      </c>
      <c r="C135" s="5" t="s">
        <v>3</v>
      </c>
      <c r="D135" s="6" t="s">
        <v>5</v>
      </c>
      <c r="E135" s="6" t="str">
        <f t="shared" si="35"/>
        <v>Pesado de Passageiros M3: Geral : Gasóleo : E5</v>
      </c>
      <c r="F135" s="6" t="s">
        <v>55</v>
      </c>
      <c r="G135" s="6" t="s">
        <v>96</v>
      </c>
      <c r="H135" s="9">
        <f>IF(G135="MJ",INDEX(Tabela1[Energia (MJ/Qtd.)],MATCH(C135,Tabela1[Fuel],0)),IF(G135="GJ",INDEX(Tabela1[Energia (GJ/Qtd.)2],MATCH(C135,Tabela1[Fuel],0)),"XXX"))</f>
        <v>3.5868000000000004E-2</v>
      </c>
      <c r="I135" s="216">
        <f>(I7*'NIR APA vkm'!$L7+I55*'NIR APA vkm'!$L21)/('NIR APA vkm'!$L7+'NIR APA vkm'!$L21)</f>
        <v>70080.63000437725</v>
      </c>
      <c r="J135" s="216">
        <f>(J7*'NIR APA vkm'!$L7+J55*'NIR APA vkm'!$L21)/('NIR APA vkm'!$L7+'NIR APA vkm'!$L21)</f>
        <v>70096.12312768781</v>
      </c>
      <c r="K135" s="216">
        <f>(K7*'NIR APA vkm'!$L7+K55*'NIR APA vkm'!$L21)/('NIR APA vkm'!$L7+'NIR APA vkm'!$L21)</f>
        <v>70063.530695184003</v>
      </c>
      <c r="L135" s="216">
        <f>(L7*'NIR APA vkm'!$L7+L55*'NIR APA vkm'!$L21)/('NIR APA vkm'!$L7+'NIR APA vkm'!$L21)</f>
        <v>70077.958278995648</v>
      </c>
      <c r="M135" s="216">
        <f>(M7*'NIR APA vkm'!$L7+M55*'NIR APA vkm'!$L21)/('NIR APA vkm'!$L7+'NIR APA vkm'!$L21)</f>
        <v>70133.313216965151</v>
      </c>
      <c r="N135" s="216">
        <f>(N7*'NIR APA vkm'!$L7+N55*'NIR APA vkm'!$L21)/('NIR APA vkm'!$L7+'NIR APA vkm'!$L21)</f>
        <v>70127.705646453396</v>
      </c>
      <c r="O135" s="216">
        <f>(O7*'NIR APA vkm'!$L7+O55*'NIR APA vkm'!$L21)/('NIR APA vkm'!$L7+'NIR APA vkm'!$L21)</f>
        <v>69488.01423155985</v>
      </c>
      <c r="P135" s="216">
        <f>(P7*'NIR APA vkm'!$L7+P55*'NIR APA vkm'!$L21)/('NIR APA vkm'!$L7+'NIR APA vkm'!$L21)</f>
        <v>0.29067773565766353</v>
      </c>
      <c r="Q135" s="216">
        <f>(Q7*'NIR APA vkm'!$L7+Q55*'NIR APA vkm'!$L21)/('NIR APA vkm'!$L7+'NIR APA vkm'!$L21)</f>
        <v>2.141047120851844</v>
      </c>
      <c r="R135" s="216">
        <f>(R7*'NIR APA vkm'!$L7+R55*'NIR APA vkm'!$L21)/('NIR APA vkm'!$L7+'NIR APA vkm'!$L21)</f>
        <v>2513.6520369970035</v>
      </c>
      <c r="S135" s="216">
        <f>(S7*'NIR APA vkm'!$L7+S55*'NIR APA vkm'!$L21)/('NIR APA vkm'!$L7+'NIR APA vkm'!$L21)</f>
        <v>2514.2077443439066</v>
      </c>
      <c r="T135" s="216">
        <f>(T7*'NIR APA vkm'!$L7+T55*'NIR APA vkm'!$L21)/('NIR APA vkm'!$L7+'NIR APA vkm'!$L21)</f>
        <v>2513.0387189748599</v>
      </c>
      <c r="U135" s="216">
        <f>(U7*'NIR APA vkm'!$L7+U55*'NIR APA vkm'!$L21)/('NIR APA vkm'!$L7+'NIR APA vkm'!$L21)</f>
        <v>2513.5562075510161</v>
      </c>
      <c r="V135" s="216">
        <f>(V7*'NIR APA vkm'!$L7+V55*'NIR APA vkm'!$L21)/('NIR APA vkm'!$L7+'NIR APA vkm'!$L21)</f>
        <v>2515.5416784661061</v>
      </c>
      <c r="W135" s="216">
        <f>(W7*'NIR APA vkm'!$L7+W55*'NIR APA vkm'!$L21)/('NIR APA vkm'!$L7+'NIR APA vkm'!$L21)</f>
        <v>2515.3405461269908</v>
      </c>
      <c r="X135" s="216">
        <f>(X7*'NIR APA vkm'!$L7+X55*'NIR APA vkm'!$L21)/('NIR APA vkm'!$L7+'NIR APA vkm'!$L21)</f>
        <v>2492.3960944575897</v>
      </c>
      <c r="Y135" s="216">
        <f>(Y7*'NIR APA vkm'!$L7+Y55*'NIR APA vkm'!$L21)/('NIR APA vkm'!$L7+'NIR APA vkm'!$L21)</f>
        <v>1.0426029022569077E-2</v>
      </c>
      <c r="Z135" s="216">
        <f>(Z7*'NIR APA vkm'!$L7+Z55*'NIR APA vkm'!$L21)/('NIR APA vkm'!$L7+'NIR APA vkm'!$L21)</f>
        <v>7.6795078130713942E-2</v>
      </c>
      <c r="AA135" s="216">
        <f>(AA7*'NIR APA vkm'!$L7+AA55*'NIR APA vkm'!$L21)/('NIR APA vkm'!$L7+'NIR APA vkm'!$L21)</f>
        <v>1152.9832784610578</v>
      </c>
      <c r="AB135" s="216">
        <f>(AB7*'NIR APA vkm'!$L7+AB55*'NIR APA vkm'!$L21)/('NIR APA vkm'!$L7+'NIR APA vkm'!$L21)</f>
        <v>1153.2418726299418</v>
      </c>
      <c r="AC135" s="216">
        <f>(AC7*'NIR APA vkm'!$L7+AC55*'NIR APA vkm'!$L21)/('NIR APA vkm'!$L7+'NIR APA vkm'!$L21)</f>
        <v>1152.7140192159779</v>
      </c>
      <c r="AD135" s="216">
        <f>(AD7*'NIR APA vkm'!$L7+AD55*'NIR APA vkm'!$L21)/('NIR APA vkm'!$L7+'NIR APA vkm'!$L21)</f>
        <v>1152.9568465232746</v>
      </c>
      <c r="AE135" s="216">
        <f>(AE7*'NIR APA vkm'!$L7+AE55*'NIR APA vkm'!$L21)/('NIR APA vkm'!$L7+'NIR APA vkm'!$L21)</f>
        <v>1153.8121598981431</v>
      </c>
      <c r="AF135" s="216">
        <f>(AF7*'NIR APA vkm'!$L7+AF55*'NIR APA vkm'!$L21)/('NIR APA vkm'!$L7+'NIR APA vkm'!$L21)</f>
        <v>1153.7367260634421</v>
      </c>
      <c r="AG135" s="216">
        <f>(AG7*'NIR APA vkm'!$L7+AG55*'NIR APA vkm'!$L21)/('NIR APA vkm'!$L7+'NIR APA vkm'!$L21)</f>
        <v>1143.6428887130758</v>
      </c>
      <c r="AH135" s="216">
        <f>(AH7*'NIR APA vkm'!$L7+AH55*'NIR APA vkm'!$L21)/('NIR APA vkm'!$L7+'NIR APA vkm'!$L21)</f>
        <v>4.8516729621724507E-3</v>
      </c>
      <c r="AI135" s="216">
        <f>(AI7*'NIR APA vkm'!$L7+AI55*'NIR APA vkm'!$L21)/('NIR APA vkm'!$L7+'NIR APA vkm'!$L21)</f>
        <v>3.3718051547024126E-2</v>
      </c>
      <c r="AJ135" s="216">
        <f>(AJ7*'NIR APA vkm'!$L7+AJ55*'NIR APA vkm'!$L21)/('NIR APA vkm'!$L7+'NIR APA vkm'!$L21)</f>
        <v>45.882165166531202</v>
      </c>
      <c r="AK135" t="s">
        <v>424</v>
      </c>
      <c r="AL135" t="s">
        <v>790</v>
      </c>
    </row>
    <row r="136" spans="1:38" ht="15.75" thickBot="1" x14ac:dyDescent="0.3">
      <c r="A136" s="4" t="s">
        <v>2</v>
      </c>
      <c r="B136" s="7" t="s">
        <v>16</v>
      </c>
      <c r="C136" s="5" t="s">
        <v>3</v>
      </c>
      <c r="D136" s="6" t="s">
        <v>6</v>
      </c>
      <c r="E136" s="6" t="str">
        <f t="shared" si="35"/>
        <v>Pesado de Passageiros M3: Geral : Gasóleo : E6</v>
      </c>
      <c r="F136" s="6" t="s">
        <v>55</v>
      </c>
      <c r="G136" s="6" t="s">
        <v>96</v>
      </c>
      <c r="H136" s="9">
        <f>IF(G136="MJ",INDEX(Tabela1[Energia (MJ/Qtd.)],MATCH(C136,Tabela1[Fuel],0)),IF(G136="GJ",INDEX(Tabela1[Energia (GJ/Qtd.)2],MATCH(C136,Tabela1[Fuel],0)),"XXX"))</f>
        <v>3.5868000000000004E-2</v>
      </c>
      <c r="I136" s="216">
        <f>(I8*'NIR APA vkm'!$L8+I56*'NIR APA vkm'!$L22)/('NIR APA vkm'!$L8+'NIR APA vkm'!$L22)</f>
        <v>70020.314954647736</v>
      </c>
      <c r="J136" s="216">
        <f>(J8*'NIR APA vkm'!$L8+J56*'NIR APA vkm'!$L22)/('NIR APA vkm'!$L8+'NIR APA vkm'!$L22)</f>
        <v>70035.346318016425</v>
      </c>
      <c r="K136" s="216">
        <f>(K8*'NIR APA vkm'!$L8+K56*'NIR APA vkm'!$L22)/('NIR APA vkm'!$L8+'NIR APA vkm'!$L22)</f>
        <v>70001.090115799598</v>
      </c>
      <c r="L136" s="216">
        <f>(L8*'NIR APA vkm'!$L8+L56*'NIR APA vkm'!$L22)/('NIR APA vkm'!$L8+'NIR APA vkm'!$L22)</f>
        <v>70014.758302125061</v>
      </c>
      <c r="M136" s="216">
        <f>(M8*'NIR APA vkm'!$L8+M56*'NIR APA vkm'!$L22)/('NIR APA vkm'!$L8+'NIR APA vkm'!$L22)</f>
        <v>70079.662863989695</v>
      </c>
      <c r="N136" s="216">
        <f>(N8*'NIR APA vkm'!$L8+N56*'NIR APA vkm'!$L22)/('NIR APA vkm'!$L8+'NIR APA vkm'!$L22)</f>
        <v>70071.257866813685</v>
      </c>
      <c r="O136" s="216">
        <f>(O8*'NIR APA vkm'!$L8+O56*'NIR APA vkm'!$L22)/('NIR APA vkm'!$L8+'NIR APA vkm'!$L22)</f>
        <v>69355.436755493938</v>
      </c>
      <c r="P136" s="216">
        <f>(P8*'NIR APA vkm'!$L8+P56*'NIR APA vkm'!$L22)/('NIR APA vkm'!$L8+'NIR APA vkm'!$L22)</f>
        <v>0.28201432211438843</v>
      </c>
      <c r="Q136" s="216">
        <f>(Q8*'NIR APA vkm'!$L8+Q56*'NIR APA vkm'!$L22)/('NIR APA vkm'!$L8+'NIR APA vkm'!$L22)</f>
        <v>2.4066300350432686</v>
      </c>
      <c r="R136" s="216">
        <f>(R8*'NIR APA vkm'!$L8+R56*'NIR APA vkm'!$L22)/('NIR APA vkm'!$L8+'NIR APA vkm'!$L22)</f>
        <v>2511.4886567933054</v>
      </c>
      <c r="S136" s="216">
        <f>(S8*'NIR APA vkm'!$L8+S56*'NIR APA vkm'!$L22)/('NIR APA vkm'!$L8+'NIR APA vkm'!$L22)</f>
        <v>2512.0278017346145</v>
      </c>
      <c r="T136" s="216">
        <f>(T8*'NIR APA vkm'!$L8+T56*'NIR APA vkm'!$L22)/('NIR APA vkm'!$L8+'NIR APA vkm'!$L22)</f>
        <v>2510.7991002735002</v>
      </c>
      <c r="U136" s="216">
        <f>(U8*'NIR APA vkm'!$L8+U56*'NIR APA vkm'!$L22)/('NIR APA vkm'!$L8+'NIR APA vkm'!$L22)</f>
        <v>2511.289350780623</v>
      </c>
      <c r="V136" s="216">
        <f>(V8*'NIR APA vkm'!$L8+V56*'NIR APA vkm'!$L22)/('NIR APA vkm'!$L8+'NIR APA vkm'!$L22)</f>
        <v>2513.6173476055828</v>
      </c>
      <c r="W136" s="216">
        <f>(W8*'NIR APA vkm'!$L8+W56*'NIR APA vkm'!$L22)/('NIR APA vkm'!$L8+'NIR APA vkm'!$L22)</f>
        <v>2513.3158771668732</v>
      </c>
      <c r="X136" s="216">
        <f>(X8*'NIR APA vkm'!$L8+X56*'NIR APA vkm'!$L22)/('NIR APA vkm'!$L8+'NIR APA vkm'!$L22)</f>
        <v>2487.6408055460565</v>
      </c>
      <c r="Y136" s="216">
        <f>(Y8*'NIR APA vkm'!$L8+Y56*'NIR APA vkm'!$L22)/('NIR APA vkm'!$L8+'NIR APA vkm'!$L22)</f>
        <v>1.0115289705598883E-2</v>
      </c>
      <c r="Z136" s="216">
        <f>(Z8*'NIR APA vkm'!$L8+Z56*'NIR APA vkm'!$L22)/('NIR APA vkm'!$L8+'NIR APA vkm'!$L22)</f>
        <v>8.6321006096931968E-2</v>
      </c>
      <c r="AA136" s="216">
        <f>(AA8*'NIR APA vkm'!$L8+AA56*'NIR APA vkm'!$L22)/('NIR APA vkm'!$L8+'NIR APA vkm'!$L22)</f>
        <v>1208.7064302268577</v>
      </c>
      <c r="AB136" s="216">
        <f>(AB8*'NIR APA vkm'!$L8+AB56*'NIR APA vkm'!$L22)/('NIR APA vkm'!$L8+'NIR APA vkm'!$L22)</f>
        <v>1208.9680683816548</v>
      </c>
      <c r="AC136" s="216">
        <f>(AC8*'NIR APA vkm'!$L8+AC56*'NIR APA vkm'!$L22)/('NIR APA vkm'!$L8+'NIR APA vkm'!$L22)</f>
        <v>1208.3815013037745</v>
      </c>
      <c r="AD136" s="216">
        <f>(AD8*'NIR APA vkm'!$L8+AD56*'NIR APA vkm'!$L22)/('NIR APA vkm'!$L8+'NIR APA vkm'!$L22)</f>
        <v>1208.6206244819441</v>
      </c>
      <c r="AE136" s="216">
        <f>(AE8*'NIR APA vkm'!$L8+AE56*'NIR APA vkm'!$L22)/('NIR APA vkm'!$L8+'NIR APA vkm'!$L22)</f>
        <v>1209.7091316344652</v>
      </c>
      <c r="AF136" s="216">
        <f>(AF8*'NIR APA vkm'!$L8+AF56*'NIR APA vkm'!$L22)/('NIR APA vkm'!$L8+'NIR APA vkm'!$L22)</f>
        <v>1209.5737471772918</v>
      </c>
      <c r="AG136" s="216">
        <f>(AG8*'NIR APA vkm'!$L8+AG56*'NIR APA vkm'!$L22)/('NIR APA vkm'!$L8+'NIR APA vkm'!$L22)</f>
        <v>1197.4645244466849</v>
      </c>
      <c r="AH136" s="216">
        <f>(AH8*'NIR APA vkm'!$L8+AH56*'NIR APA vkm'!$L22)/('NIR APA vkm'!$L8+'NIR APA vkm'!$L22)</f>
        <v>4.9087833920590839E-3</v>
      </c>
      <c r="AI136" s="216">
        <f>(AI8*'NIR APA vkm'!$L8+AI56*'NIR APA vkm'!$L22)/('NIR APA vkm'!$L8+'NIR APA vkm'!$L22)</f>
        <v>4.0677475177782009E-2</v>
      </c>
      <c r="AJ136" s="216">
        <f>(AJ8*'NIR APA vkm'!$L8+AJ56*'NIR APA vkm'!$L22)/('NIR APA vkm'!$L8+'NIR APA vkm'!$L22)</f>
        <v>48.135238783256902</v>
      </c>
      <c r="AK136" t="s">
        <v>424</v>
      </c>
      <c r="AL136" t="s">
        <v>790</v>
      </c>
    </row>
    <row r="137" spans="1:38" ht="15.75" thickBot="1" x14ac:dyDescent="0.3">
      <c r="A137" s="4" t="s">
        <v>2</v>
      </c>
      <c r="B137" s="7" t="s">
        <v>16</v>
      </c>
      <c r="C137" s="5" t="s">
        <v>3</v>
      </c>
      <c r="D137" s="6" t="s">
        <v>81</v>
      </c>
      <c r="E137" s="6" t="str">
        <f t="shared" ref="E137" si="55">A137&amp;": "&amp;B137&amp;" : "&amp;C137&amp;" : "&amp;D137</f>
        <v>Pesado de Passageiros M3: Geral : Gasóleo : E6 D/E E7</v>
      </c>
      <c r="F137" s="6" t="s">
        <v>55</v>
      </c>
      <c r="G137" s="6" t="s">
        <v>96</v>
      </c>
      <c r="H137" s="9">
        <f>IF(G137="MJ",INDEX(Tabela1[Energia (MJ/Qtd.)],MATCH(C137,Tabela1[Fuel],0)),IF(G137="GJ",INDEX(Tabela1[Energia (GJ/Qtd.)2],MATCH(C137,Tabela1[Fuel],0)),"XXX"))</f>
        <v>3.5868000000000004E-2</v>
      </c>
      <c r="I137" s="216">
        <f>(I9*'NIR APA vkm'!$L9+I57*'NIR APA vkm'!$L23)/('NIR APA vkm'!$L9+'NIR APA vkm'!$L23)</f>
        <v>70018.127326645699</v>
      </c>
      <c r="J137" s="216">
        <f>(J9*'NIR APA vkm'!$L9+J57*'NIR APA vkm'!$L23)/('NIR APA vkm'!$L9+'NIR APA vkm'!$L23)</f>
        <v>70033.155423983073</v>
      </c>
      <c r="K137" s="216">
        <f>(K9*'NIR APA vkm'!$L9+K57*'NIR APA vkm'!$L23)/('NIR APA vkm'!$L9+'NIR APA vkm'!$L23)</f>
        <v>69998.965511803646</v>
      </c>
      <c r="L137" s="216">
        <f>(L9*'NIR APA vkm'!$L9+L57*'NIR APA vkm'!$L23)/('NIR APA vkm'!$L9+'NIR APA vkm'!$L23)</f>
        <v>70012.63808414193</v>
      </c>
      <c r="M137" s="216">
        <f>(M9*'NIR APA vkm'!$L9+M57*'NIR APA vkm'!$L23)/('NIR APA vkm'!$L9+'NIR APA vkm'!$L23)</f>
        <v>70077.278444521231</v>
      </c>
      <c r="N137" s="216">
        <f>(N9*'NIR APA vkm'!$L9+N57*'NIR APA vkm'!$L23)/('NIR APA vkm'!$L9+'NIR APA vkm'!$L23)</f>
        <v>70068.941476255583</v>
      </c>
      <c r="O137" s="216">
        <f>(O9*'NIR APA vkm'!$L9+O57*'NIR APA vkm'!$L23)/('NIR APA vkm'!$L9+'NIR APA vkm'!$L23)</f>
        <v>69355.401740416943</v>
      </c>
      <c r="P137" s="216">
        <f>(P9*'NIR APA vkm'!$L9+P57*'NIR APA vkm'!$L23)/('NIR APA vkm'!$L9+'NIR APA vkm'!$L23)</f>
        <v>0.2819530457296498</v>
      </c>
      <c r="Q137" s="216">
        <f>(Q9*'NIR APA vkm'!$L9+Q57*'NIR APA vkm'!$L23)/('NIR APA vkm'!$L9+'NIR APA vkm'!$L23)</f>
        <v>2.3987512683256034</v>
      </c>
      <c r="R137" s="216">
        <f>(R9*'NIR APA vkm'!$L9+R57*'NIR APA vkm'!$L23)/('NIR APA vkm'!$L9+'NIR APA vkm'!$L23)</f>
        <v>2511.4101909521282</v>
      </c>
      <c r="S137" s="216">
        <f>(S9*'NIR APA vkm'!$L9+S57*'NIR APA vkm'!$L23)/('NIR APA vkm'!$L9+'NIR APA vkm'!$L23)</f>
        <v>2511.9492187474257</v>
      </c>
      <c r="T137" s="216">
        <f>(T9*'NIR APA vkm'!$L9+T57*'NIR APA vkm'!$L23)/('NIR APA vkm'!$L9+'NIR APA vkm'!$L23)</f>
        <v>2510.7228949773744</v>
      </c>
      <c r="U137" s="216">
        <f>(U9*'NIR APA vkm'!$L9+U57*'NIR APA vkm'!$L23)/('NIR APA vkm'!$L9+'NIR APA vkm'!$L23)</f>
        <v>2511.213302802003</v>
      </c>
      <c r="V137" s="216">
        <f>(V9*'NIR APA vkm'!$L9+V57*'NIR APA vkm'!$L23)/('NIR APA vkm'!$L9+'NIR APA vkm'!$L23)</f>
        <v>2513.5318232480877</v>
      </c>
      <c r="W137" s="216">
        <f>(W9*'NIR APA vkm'!$L9+W57*'NIR APA vkm'!$L23)/('NIR APA vkm'!$L9+'NIR APA vkm'!$L23)</f>
        <v>2513.2327928703353</v>
      </c>
      <c r="X137" s="216">
        <f>(X9*'NIR APA vkm'!$L9+X57*'NIR APA vkm'!$L23)/('NIR APA vkm'!$L9+'NIR APA vkm'!$L23)</f>
        <v>2487.6395496252753</v>
      </c>
      <c r="Y137" s="216">
        <f>(Y9*'NIR APA vkm'!$L9+Y57*'NIR APA vkm'!$L23)/('NIR APA vkm'!$L9+'NIR APA vkm'!$L23)</f>
        <v>1.011309184423108E-2</v>
      </c>
      <c r="Z137" s="216">
        <f>(Z9*'NIR APA vkm'!$L9+Z57*'NIR APA vkm'!$L23)/('NIR APA vkm'!$L9+'NIR APA vkm'!$L23)</f>
        <v>8.6038410492302736E-2</v>
      </c>
      <c r="AA137" s="216">
        <f>(AA9*'NIR APA vkm'!$L9+AA57*'NIR APA vkm'!$L23)/('NIR APA vkm'!$L9+'NIR APA vkm'!$L23)</f>
        <v>1214.4728827210583</v>
      </c>
      <c r="AB137" s="216">
        <f>(AB9*'NIR APA vkm'!$L9+AB57*'NIR APA vkm'!$L23)/('NIR APA vkm'!$L9+'NIR APA vkm'!$L23)</f>
        <v>1214.7343813230029</v>
      </c>
      <c r="AC137" s="216">
        <f>(AC9*'NIR APA vkm'!$L9+AC57*'NIR APA vkm'!$L23)/('NIR APA vkm'!$L9+'NIR APA vkm'!$L23)</f>
        <v>1214.1480040278907</v>
      </c>
      <c r="AD137" s="216">
        <f>(AD9*'NIR APA vkm'!$L9+AD57*'NIR APA vkm'!$L23)/('NIR APA vkm'!$L9+'NIR APA vkm'!$L23)</f>
        <v>1214.3869842771421</v>
      </c>
      <c r="AE137" s="216">
        <f>(AE9*'NIR APA vkm'!$L9+AE57*'NIR APA vkm'!$L23)/('NIR APA vkm'!$L9+'NIR APA vkm'!$L23)</f>
        <v>1215.475433934907</v>
      </c>
      <c r="AF137" s="216">
        <f>(AF9*'NIR APA vkm'!$L9+AF57*'NIR APA vkm'!$L23)/('NIR APA vkm'!$L9+'NIR APA vkm'!$L23)</f>
        <v>1215.3399832230803</v>
      </c>
      <c r="AG137" s="216">
        <f>(AG9*'NIR APA vkm'!$L9+AG57*'NIR APA vkm'!$L23)/('NIR APA vkm'!$L9+'NIR APA vkm'!$L23)</f>
        <v>1203.2327730207892</v>
      </c>
      <c r="AH137" s="216">
        <f>(AH9*'NIR APA vkm'!$L9+AH57*'NIR APA vkm'!$L23)/('NIR APA vkm'!$L9+'NIR APA vkm'!$L23)</f>
        <v>4.9061651396768947E-3</v>
      </c>
      <c r="AI137" s="216">
        <f>(AI9*'NIR APA vkm'!$L9+AI57*'NIR APA vkm'!$L23)/('NIR APA vkm'!$L9+'NIR APA vkm'!$L23)</f>
        <v>4.0671163710153939E-2</v>
      </c>
      <c r="AJ137" s="216">
        <f>(AJ9*'NIR APA vkm'!$L9+AJ57*'NIR APA vkm'!$L23)/('NIR APA vkm'!$L9+'NIR APA vkm'!$L23)</f>
        <v>48.367116731797765</v>
      </c>
      <c r="AK137" t="s">
        <v>424</v>
      </c>
      <c r="AL137" t="s">
        <v>790</v>
      </c>
    </row>
  </sheetData>
  <dataValidations count="4">
    <dataValidation type="list" allowBlank="1" showInputMessage="1" showErrorMessage="1" sqref="C50:C57 C2:C9 C26:C33 C121">
      <formula1>"Gasóleo, Gasolina, GPL, GNC, GNV, Butano, Propano, H2"</formula1>
    </dataValidation>
    <dataValidation type="list" allowBlank="1" showInputMessage="1" showErrorMessage="1" sqref="B2:B73">
      <formula1>"I, II, III, Geral"</formula1>
    </dataValidation>
    <dataValidation type="list" allowBlank="1" showInputMessage="1" showErrorMessage="1" sqref="A2:A137">
      <formula1>"Pesado de Passageiros M3, Pesado de Passageiros M2, Ligeiro de Passageiros M1, Pesado de Mercadorias N3, Pesado de Mercadorias N2, Ligeiro de Mercadorias N1, Misto"</formula1>
    </dataValidation>
    <dataValidation type="list" allowBlank="1" showInputMessage="1" showErrorMessage="1" sqref="C10:C25 C34:C49 C58:C73 C120 C114">
      <formula1>"Gasóleo, Gasolina, GPL, GNC, GNL, Butano, Propano, H2"</formula1>
    </dataValidation>
  </dataValidations>
  <pageMargins left="0.7" right="0.7" top="0.75" bottom="0.75" header="0.3" footer="0.3"/>
  <pageSetup paperSize="9" orientation="portrait" r:id="rId1"/>
  <customProperties>
    <customPr name="GU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9"/>
  <dimension ref="A1:C34"/>
  <sheetViews>
    <sheetView workbookViewId="0"/>
  </sheetViews>
  <sheetFormatPr defaultRowHeight="15" x14ac:dyDescent="0.25"/>
  <cols>
    <col min="1" max="1" width="9.140625" style="153"/>
    <col min="2" max="2" width="15" style="153" customWidth="1"/>
    <col min="3" max="3" width="21.140625" style="153" customWidth="1"/>
  </cols>
  <sheetData>
    <row r="1" spans="1:3" s="68" customFormat="1" ht="60" x14ac:dyDescent="0.25">
      <c r="A1" s="129" t="s">
        <v>191</v>
      </c>
      <c r="B1" s="129" t="s">
        <v>226</v>
      </c>
      <c r="C1" s="129" t="s">
        <v>227</v>
      </c>
    </row>
    <row r="2" spans="1:3" x14ac:dyDescent="0.25">
      <c r="A2" s="153">
        <v>2022</v>
      </c>
      <c r="B2" s="153" t="s">
        <v>208</v>
      </c>
      <c r="C2" s="153">
        <v>173</v>
      </c>
    </row>
    <row r="3" spans="1:3" x14ac:dyDescent="0.25">
      <c r="A3" s="153">
        <v>2021</v>
      </c>
      <c r="B3" s="153" t="s">
        <v>208</v>
      </c>
      <c r="C3" s="153">
        <v>170</v>
      </c>
    </row>
    <row r="4" spans="1:3" x14ac:dyDescent="0.25">
      <c r="A4" s="153">
        <v>2020</v>
      </c>
      <c r="B4" s="153" t="s">
        <v>208</v>
      </c>
      <c r="C4" s="153">
        <v>203</v>
      </c>
    </row>
    <row r="5" spans="1:3" x14ac:dyDescent="0.25">
      <c r="A5" s="153">
        <v>2019</v>
      </c>
      <c r="B5" s="153" t="s">
        <v>208</v>
      </c>
      <c r="C5" s="153">
        <v>254</v>
      </c>
    </row>
    <row r="6" spans="1:3" x14ac:dyDescent="0.25">
      <c r="A6" s="153">
        <v>2018</v>
      </c>
      <c r="B6" s="153" t="s">
        <v>208</v>
      </c>
      <c r="C6" s="153">
        <v>309</v>
      </c>
    </row>
    <row r="7" spans="1:3" x14ac:dyDescent="0.25">
      <c r="A7" s="153">
        <v>2017</v>
      </c>
      <c r="B7" s="153" t="s">
        <v>208</v>
      </c>
      <c r="C7" s="153">
        <v>362</v>
      </c>
    </row>
    <row r="8" spans="1:3" x14ac:dyDescent="0.25">
      <c r="A8" s="153">
        <v>2016</v>
      </c>
      <c r="B8" s="153" t="s">
        <v>208</v>
      </c>
      <c r="C8" s="153">
        <v>295</v>
      </c>
    </row>
    <row r="9" spans="1:3" x14ac:dyDescent="0.25">
      <c r="A9" s="153">
        <v>2015</v>
      </c>
      <c r="B9" s="153" t="s">
        <v>208</v>
      </c>
      <c r="C9" s="153">
        <v>364</v>
      </c>
    </row>
    <row r="10" spans="1:3" x14ac:dyDescent="0.25">
      <c r="A10" s="153">
        <v>2014</v>
      </c>
      <c r="B10" s="153" t="s">
        <v>208</v>
      </c>
      <c r="C10" s="153">
        <v>299</v>
      </c>
    </row>
    <row r="11" spans="1:3" x14ac:dyDescent="0.25">
      <c r="A11" s="153">
        <v>2013</v>
      </c>
      <c r="B11" s="153" t="s">
        <v>208</v>
      </c>
      <c r="C11" s="153">
        <v>318</v>
      </c>
    </row>
    <row r="12" spans="1:3" x14ac:dyDescent="0.25">
      <c r="A12" s="153">
        <v>2012</v>
      </c>
      <c r="B12" s="153" t="s">
        <v>208</v>
      </c>
      <c r="C12" s="153">
        <v>397</v>
      </c>
    </row>
    <row r="13" spans="1:3" x14ac:dyDescent="0.25">
      <c r="A13" s="153">
        <v>2011</v>
      </c>
      <c r="B13" s="153" t="s">
        <v>208</v>
      </c>
      <c r="C13" s="153">
        <v>332</v>
      </c>
    </row>
    <row r="14" spans="1:3" x14ac:dyDescent="0.25">
      <c r="A14" s="153">
        <v>2010</v>
      </c>
      <c r="B14" s="153" t="s">
        <v>208</v>
      </c>
      <c r="C14" s="153">
        <v>280</v>
      </c>
    </row>
    <row r="15" spans="1:3" x14ac:dyDescent="0.25">
      <c r="A15" s="153">
        <v>2009</v>
      </c>
      <c r="B15" s="153" t="s">
        <v>208</v>
      </c>
      <c r="C15" s="153">
        <v>392</v>
      </c>
    </row>
    <row r="16" spans="1:3" x14ac:dyDescent="0.25">
      <c r="A16" s="153">
        <v>2008</v>
      </c>
      <c r="B16" s="153" t="s">
        <v>208</v>
      </c>
      <c r="C16" s="153">
        <v>416</v>
      </c>
    </row>
    <row r="17" spans="1:3" x14ac:dyDescent="0.25">
      <c r="A17" s="153">
        <v>2007</v>
      </c>
      <c r="B17" s="153" t="s">
        <v>208</v>
      </c>
      <c r="C17" s="153">
        <v>421</v>
      </c>
    </row>
    <row r="18" spans="1:3" x14ac:dyDescent="0.25">
      <c r="A18" s="153">
        <v>2006</v>
      </c>
      <c r="B18" s="153" t="s">
        <v>208</v>
      </c>
      <c r="C18" s="153">
        <v>450</v>
      </c>
    </row>
    <row r="19" spans="1:3" x14ac:dyDescent="0.25">
      <c r="A19" s="153">
        <v>2005</v>
      </c>
      <c r="B19" s="153" t="s">
        <v>208</v>
      </c>
      <c r="C19" s="153">
        <v>535</v>
      </c>
    </row>
    <row r="20" spans="1:3" x14ac:dyDescent="0.25">
      <c r="A20" s="153">
        <v>2004</v>
      </c>
      <c r="B20" s="153" t="s">
        <v>208</v>
      </c>
      <c r="C20" s="153">
        <v>484</v>
      </c>
    </row>
    <row r="21" spans="1:3" x14ac:dyDescent="0.25">
      <c r="A21" s="153">
        <v>2003</v>
      </c>
      <c r="B21" s="153" t="s">
        <v>208</v>
      </c>
      <c r="C21" s="153">
        <v>439</v>
      </c>
    </row>
    <row r="22" spans="1:3" x14ac:dyDescent="0.25">
      <c r="A22" s="153">
        <v>2002</v>
      </c>
      <c r="B22" s="153" t="s">
        <v>208</v>
      </c>
      <c r="C22" s="153">
        <v>539</v>
      </c>
    </row>
    <row r="23" spans="1:3" x14ac:dyDescent="0.25">
      <c r="A23" s="153">
        <v>2001</v>
      </c>
      <c r="B23" s="153" t="s">
        <v>208</v>
      </c>
      <c r="C23" s="153">
        <v>461</v>
      </c>
    </row>
    <row r="24" spans="1:3" x14ac:dyDescent="0.25">
      <c r="A24" s="153">
        <v>2000</v>
      </c>
      <c r="B24" s="153" t="s">
        <v>208</v>
      </c>
      <c r="C24" s="153">
        <v>483</v>
      </c>
    </row>
    <row r="25" spans="1:3" x14ac:dyDescent="0.25">
      <c r="A25" s="153">
        <v>1999</v>
      </c>
      <c r="B25" s="153" t="s">
        <v>208</v>
      </c>
      <c r="C25" s="153">
        <v>576</v>
      </c>
    </row>
    <row r="26" spans="1:3" x14ac:dyDescent="0.25">
      <c r="A26" s="153">
        <v>1998</v>
      </c>
      <c r="B26" s="153" t="s">
        <v>208</v>
      </c>
      <c r="C26" s="153">
        <v>474</v>
      </c>
    </row>
    <row r="27" spans="1:3" x14ac:dyDescent="0.25">
      <c r="A27" s="153">
        <v>1997</v>
      </c>
      <c r="B27" s="153" t="s">
        <v>208</v>
      </c>
      <c r="C27" s="153">
        <v>466</v>
      </c>
    </row>
    <row r="28" spans="1:3" x14ac:dyDescent="0.25">
      <c r="A28" s="153">
        <v>1996</v>
      </c>
      <c r="B28" s="153" t="s">
        <v>208</v>
      </c>
      <c r="C28" s="153">
        <v>436</v>
      </c>
    </row>
    <row r="29" spans="1:3" x14ac:dyDescent="0.25">
      <c r="A29" s="153">
        <v>1995</v>
      </c>
      <c r="B29" s="153" t="s">
        <v>208</v>
      </c>
      <c r="C29" s="153">
        <v>573</v>
      </c>
    </row>
    <row r="30" spans="1:3" x14ac:dyDescent="0.25">
      <c r="A30" s="153">
        <v>1994</v>
      </c>
      <c r="B30" s="153" t="s">
        <v>208</v>
      </c>
      <c r="C30" s="153">
        <v>506</v>
      </c>
    </row>
    <row r="31" spans="1:3" x14ac:dyDescent="0.25">
      <c r="A31" s="153">
        <v>1993</v>
      </c>
      <c r="B31" s="153" t="s">
        <v>208</v>
      </c>
      <c r="C31" s="153">
        <v>544</v>
      </c>
    </row>
    <row r="32" spans="1:3" x14ac:dyDescent="0.25">
      <c r="A32" s="153">
        <v>1992</v>
      </c>
      <c r="B32" s="153" t="s">
        <v>208</v>
      </c>
      <c r="C32" s="153">
        <v>621</v>
      </c>
    </row>
    <row r="33" spans="1:3" x14ac:dyDescent="0.25">
      <c r="A33" s="153">
        <v>1991</v>
      </c>
      <c r="B33" s="153" t="s">
        <v>208</v>
      </c>
      <c r="C33" s="153">
        <v>526</v>
      </c>
    </row>
    <row r="34" spans="1:3" x14ac:dyDescent="0.25">
      <c r="A34" s="153">
        <v>1990</v>
      </c>
      <c r="B34" s="153" t="s">
        <v>208</v>
      </c>
      <c r="C34" s="153">
        <v>519</v>
      </c>
    </row>
  </sheetData>
  <pageMargins left="0.7" right="0.7" top="0.75" bottom="0.75" header="0.3" footer="0.3"/>
  <customProperties>
    <customPr name="GUID" r:id="rId1"/>
  </customProperties>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0"/>
  <dimension ref="A1:R140"/>
  <sheetViews>
    <sheetView workbookViewId="0">
      <selection activeCell="G22" sqref="G22"/>
    </sheetView>
  </sheetViews>
  <sheetFormatPr defaultRowHeight="15" x14ac:dyDescent="0.25"/>
  <cols>
    <col min="1" max="1" width="13.42578125" bestFit="1" customWidth="1"/>
    <col min="2" max="2" width="21.140625" customWidth="1"/>
    <col min="3" max="3" width="20" customWidth="1"/>
    <col min="4" max="4" width="43.7109375" customWidth="1"/>
    <col min="5" max="5" width="21.7109375" style="71" bestFit="1" customWidth="1"/>
    <col min="6" max="6" width="21.5703125" style="71" bestFit="1" customWidth="1"/>
    <col min="7" max="7" width="22" style="71" bestFit="1" customWidth="1"/>
    <col min="8" max="10" width="14.7109375" style="71" customWidth="1"/>
    <col min="11" max="16" width="15.5703125" style="71" customWidth="1"/>
  </cols>
  <sheetData>
    <row r="1" spans="1:18" s="68" customFormat="1" ht="30.75" thickBot="1" x14ac:dyDescent="0.3">
      <c r="A1" s="116" t="s">
        <v>104</v>
      </c>
      <c r="B1" s="117" t="s">
        <v>82</v>
      </c>
      <c r="C1" s="126" t="s">
        <v>124</v>
      </c>
      <c r="D1" s="117" t="s">
        <v>667</v>
      </c>
      <c r="E1" s="118" t="s">
        <v>126</v>
      </c>
      <c r="F1" s="118" t="s">
        <v>127</v>
      </c>
      <c r="G1" s="118" t="s">
        <v>128</v>
      </c>
      <c r="H1" s="118" t="s">
        <v>228</v>
      </c>
      <c r="I1" s="118" t="s">
        <v>229</v>
      </c>
      <c r="J1" s="119" t="s">
        <v>230</v>
      </c>
      <c r="K1" s="120" t="s">
        <v>64</v>
      </c>
      <c r="L1" s="121" t="s">
        <v>63</v>
      </c>
      <c r="M1" s="121" t="s">
        <v>61</v>
      </c>
      <c r="N1" s="121" t="s">
        <v>676</v>
      </c>
      <c r="O1" s="121" t="s">
        <v>62</v>
      </c>
      <c r="P1" s="122" t="s">
        <v>65</v>
      </c>
      <c r="Q1" s="222" t="s">
        <v>415</v>
      </c>
      <c r="R1" s="69" t="s">
        <v>794</v>
      </c>
    </row>
    <row r="2" spans="1:18" x14ac:dyDescent="0.25">
      <c r="A2" s="110" t="s">
        <v>108</v>
      </c>
      <c r="B2" s="103" t="s">
        <v>231</v>
      </c>
      <c r="C2" s="127" t="s">
        <v>131</v>
      </c>
      <c r="D2" s="205" t="str">
        <f>B2&amp;":"&amp;C2&amp;" :: "&amp;Q2&amp;":"&amp;R2</f>
        <v>Butano:tonnes :: DEFRA:2022</v>
      </c>
      <c r="E2" s="104">
        <v>3029.26</v>
      </c>
      <c r="F2" s="104">
        <v>2.5200000000000005</v>
      </c>
      <c r="G2" s="104">
        <v>1.6006711409395973</v>
      </c>
      <c r="H2" s="104">
        <f>E2/'PAG100 FE GE'!$D$2</f>
        <v>3029.26</v>
      </c>
      <c r="I2" s="104">
        <f>F2/'PAG100 FE GE'!$D$3</f>
        <v>9.0000000000000011E-2</v>
      </c>
      <c r="J2" s="106">
        <f>G2/'PAG100 FE GE'!$D$4</f>
        <v>6.0402684563758387E-3</v>
      </c>
      <c r="K2" s="111">
        <f>H2*'PAG100 FE GE'!$E$2+'FE DEFRA A1. Fuel Eq'!I2*'PAG100 FE GE'!$E$3+J2*'PAG100 FE GE'!$E$4</f>
        <v>3033.4199932885908</v>
      </c>
      <c r="L2" s="111">
        <f>H2*'PAG20 FE GE'!$E$2+'FE DEFRA A1. Fuel Eq'!I2*'PAG20 FE GE'!$E$3+J2*'PAG20 FE GE'!$E$4</f>
        <v>3038.2169932885909</v>
      </c>
      <c r="M2" s="111">
        <f>H2*'PAG100 FE GE'!$D$2+'FE DEFRA A1. Fuel Eq'!I2*'PAG100 FE GE'!$D$3+J2*'PAG100 FE GE'!$D$4</f>
        <v>3033.3806711409397</v>
      </c>
      <c r="N2" s="111">
        <f>H2*'PAG20 FE GE'!$D$2+'FE DEFRA A1. Fuel Eq'!I2*'PAG20 FE GE'!$D$3+J2*'PAG20 FE GE'!$D$4</f>
        <v>3038.5046308724836</v>
      </c>
      <c r="O2" s="111">
        <f>H2*'PAG100 FE GE'!$C$2+'FE DEFRA A1. Fuel Eq'!I2*'PAG100 FE GE'!$C$3+J2*'PAG100 FE GE'!$C$4</f>
        <v>3033.3100000000004</v>
      </c>
      <c r="P2" s="112">
        <f>H2*'PAG20 FE GE'!$C$2+'FE DEFRA A1. Fuel Eq'!I2*'PAG20 FE GE'!$C$3+J2*'PAG20 FE GE'!$C$4</f>
        <v>3037.4856375838926</v>
      </c>
      <c r="Q2" t="s">
        <v>428</v>
      </c>
      <c r="R2">
        <v>2022</v>
      </c>
    </row>
    <row r="3" spans="1:18" x14ac:dyDescent="0.25">
      <c r="A3" s="110" t="s">
        <v>108</v>
      </c>
      <c r="B3" s="103" t="s">
        <v>231</v>
      </c>
      <c r="C3" s="127" t="s">
        <v>57</v>
      </c>
      <c r="D3" s="205" t="str">
        <f t="shared" ref="D3:D56" si="0">B3&amp;":"&amp;C3&amp;" :: "&amp;Q3&amp;":"&amp;R3</f>
        <v>Butano:kg :: DEFRA:2022</v>
      </c>
      <c r="E3" s="104">
        <f>E2/1000</f>
        <v>3.0292600000000003</v>
      </c>
      <c r="F3" s="104">
        <f t="shared" ref="F3:G3" si="1">F2/1000</f>
        <v>2.5200000000000005E-3</v>
      </c>
      <c r="G3" s="104">
        <f t="shared" si="1"/>
        <v>1.6006711409395974E-3</v>
      </c>
      <c r="H3" s="104">
        <f>E3/'PAG100 FE GE'!$D$2</f>
        <v>3.0292600000000003</v>
      </c>
      <c r="I3" s="104">
        <f>F3/'PAG100 FE GE'!$D$3</f>
        <v>9.0000000000000019E-5</v>
      </c>
      <c r="J3" s="106">
        <f>G3/'PAG100 FE GE'!$D$4</f>
        <v>6.040268456375839E-6</v>
      </c>
      <c r="K3" s="111">
        <f>H3*'PAG100 FE GE'!$E$2+'FE DEFRA A1. Fuel Eq'!I3*'PAG100 FE GE'!$E$3+J3*'PAG100 FE GE'!$E$4</f>
        <v>3.0334199932885912</v>
      </c>
      <c r="L3" s="111">
        <f>H3*'PAG20 FE GE'!$E$2+'FE DEFRA A1. Fuel Eq'!I3*'PAG20 FE GE'!$E$3+J3*'PAG20 FE GE'!$E$4</f>
        <v>3.0382169932885912</v>
      </c>
      <c r="M3" s="111">
        <f>H3*'PAG100 FE GE'!$D$2+'FE DEFRA A1. Fuel Eq'!I3*'PAG100 FE GE'!$D$3+J3*'PAG100 FE GE'!$D$4</f>
        <v>3.0333806711409399</v>
      </c>
      <c r="N3" s="111">
        <f>H3*'PAG20 FE GE'!$D$2+'FE DEFRA A1. Fuel Eq'!I3*'PAG20 FE GE'!$D$3+J3*'PAG20 FE GE'!$D$4</f>
        <v>3.0385046308724832</v>
      </c>
      <c r="O3" s="111">
        <f>H3*'PAG100 FE GE'!$C$2+'FE DEFRA A1. Fuel Eq'!I3*'PAG100 FE GE'!$C$3+J3*'PAG100 FE GE'!$C$4</f>
        <v>3.0333100000000002</v>
      </c>
      <c r="P3" s="112">
        <f>H3*'PAG20 FE GE'!$C$2+'FE DEFRA A1. Fuel Eq'!I3*'PAG20 FE GE'!$C$3+J3*'PAG20 FE GE'!$C$4</f>
        <v>3.0374856375838926</v>
      </c>
      <c r="Q3" t="s">
        <v>428</v>
      </c>
      <c r="R3">
        <v>2022</v>
      </c>
    </row>
    <row r="4" spans="1:18" x14ac:dyDescent="0.25">
      <c r="A4" s="110" t="s">
        <v>108</v>
      </c>
      <c r="B4" s="103" t="s">
        <v>231</v>
      </c>
      <c r="C4" s="127" t="s">
        <v>55</v>
      </c>
      <c r="D4" s="205" t="str">
        <f t="shared" si="0"/>
        <v>Butano:l :: DEFRA:2022</v>
      </c>
      <c r="E4" s="104">
        <v>1.7429600000000001</v>
      </c>
      <c r="F4" s="104">
        <v>1.4448E-3</v>
      </c>
      <c r="G4" s="104">
        <v>9.2483221476510056E-4</v>
      </c>
      <c r="H4" s="104">
        <f>E4/'PAG100 FE GE'!$D$2</f>
        <v>1.7429600000000001</v>
      </c>
      <c r="I4" s="104">
        <f>F4/'PAG100 FE GE'!$D$3</f>
        <v>5.1600000000000001E-5</v>
      </c>
      <c r="J4" s="106">
        <f>G4/'PAG100 FE GE'!$D$4</f>
        <v>3.4899328859060398E-6</v>
      </c>
      <c r="K4" s="111">
        <f>H4*'PAG100 FE GE'!$E$2+'FE DEFRA A1. Fuel Eq'!I4*'PAG100 FE GE'!$E$3+J4*'PAG100 FE GE'!$E$4</f>
        <v>1.7453523916778524</v>
      </c>
      <c r="L4" s="111">
        <f>H4*'PAG20 FE GE'!$E$2+'FE DEFRA A1. Fuel Eq'!I4*'PAG20 FE GE'!$E$3+J4*'PAG20 FE GE'!$E$4</f>
        <v>1.7481026716778523</v>
      </c>
      <c r="M4" s="111">
        <f>H4*'PAG100 FE GE'!$D$2+'FE DEFRA A1. Fuel Eq'!I4*'PAG100 FE GE'!$D$3+J4*'PAG100 FE GE'!$D$4</f>
        <v>1.7453296322147651</v>
      </c>
      <c r="N4" s="111">
        <f>H4*'PAG20 FE GE'!$D$2+'FE DEFRA A1. Fuel Eq'!I4*'PAG20 FE GE'!$D$3+J4*'PAG20 FE GE'!$D$4</f>
        <v>1.7482673422818793</v>
      </c>
      <c r="O4" s="111">
        <f>H4*'PAG100 FE GE'!$C$2+'FE DEFRA A1. Fuel Eq'!I4*'PAG100 FE GE'!$C$3+J4*'PAG100 FE GE'!$C$4</f>
        <v>1.74529</v>
      </c>
      <c r="P4" s="112">
        <f>H4*'PAG20 FE GE'!$C$2+'FE DEFRA A1. Fuel Eq'!I4*'PAG20 FE GE'!$C$3+J4*'PAG20 FE GE'!$C$4</f>
        <v>1.747683790604027</v>
      </c>
      <c r="Q4" t="s">
        <v>428</v>
      </c>
      <c r="R4">
        <v>2022</v>
      </c>
    </row>
    <row r="5" spans="1:18" x14ac:dyDescent="0.25">
      <c r="A5" s="110" t="s">
        <v>108</v>
      </c>
      <c r="B5" s="103" t="s">
        <v>231</v>
      </c>
      <c r="C5" s="127" t="s">
        <v>133</v>
      </c>
      <c r="D5" s="205" t="str">
        <f t="shared" si="0"/>
        <v>Butano:kWh (Net CV) :: DEFRA:2022</v>
      </c>
      <c r="E5" s="104">
        <v>0.24074000000000001</v>
      </c>
      <c r="F5" s="104">
        <v>2.0160000000000002E-4</v>
      </c>
      <c r="G5" s="104">
        <v>1.2449664429530201E-4</v>
      </c>
      <c r="H5" s="104">
        <f>E5/'PAG100 FE GE'!$D$2</f>
        <v>0.24074000000000001</v>
      </c>
      <c r="I5" s="104">
        <f>F5/'PAG100 FE GE'!$D$3</f>
        <v>7.2000000000000005E-6</v>
      </c>
      <c r="J5" s="106">
        <f>G5/'PAG100 FE GE'!$D$4</f>
        <v>4.6979865771812082E-7</v>
      </c>
      <c r="K5" s="111">
        <f>H5*'PAG100 FE GE'!$E$2+'FE DEFRA A1. Fuel Eq'!I5*'PAG100 FE GE'!$E$3+J5*'PAG100 FE GE'!$E$4</f>
        <v>0.24106913503355704</v>
      </c>
      <c r="L5" s="111">
        <f>H5*'PAG20 FE GE'!$E$2+'FE DEFRA A1. Fuel Eq'!I5*'PAG20 FE GE'!$E$3+J5*'PAG20 FE GE'!$E$4</f>
        <v>0.24145289503355705</v>
      </c>
      <c r="M5" s="111">
        <f>H5*'PAG100 FE GE'!$D$2+'FE DEFRA A1. Fuel Eq'!I5*'PAG100 FE GE'!$D$3+J5*'PAG100 FE GE'!$D$4</f>
        <v>0.24106609664429532</v>
      </c>
      <c r="N5" s="111">
        <f>H5*'PAG20 FE GE'!$D$2+'FE DEFRA A1. Fuel Eq'!I5*'PAG20 FE GE'!$D$3+J5*'PAG20 FE GE'!$D$4</f>
        <v>0.2414760268456376</v>
      </c>
      <c r="O5" s="111">
        <f>H5*'PAG100 FE GE'!$C$2+'FE DEFRA A1. Fuel Eq'!I5*'PAG100 FE GE'!$C$3+J5*'PAG100 FE GE'!$C$4</f>
        <v>0.24106000000000002</v>
      </c>
      <c r="P5" s="112">
        <f>H5*'PAG20 FE GE'!$C$2+'FE DEFRA A1. Fuel Eq'!I5*'PAG20 FE GE'!$C$3+J5*'PAG20 FE GE'!$C$4</f>
        <v>0.24139417181208056</v>
      </c>
      <c r="Q5" t="s">
        <v>428</v>
      </c>
      <c r="R5">
        <v>2022</v>
      </c>
    </row>
    <row r="6" spans="1:18" x14ac:dyDescent="0.25">
      <c r="A6" s="110" t="s">
        <v>108</v>
      </c>
      <c r="B6" s="103" t="s">
        <v>231</v>
      </c>
      <c r="C6" s="127" t="s">
        <v>134</v>
      </c>
      <c r="D6" s="205" t="str">
        <f t="shared" si="0"/>
        <v>Butano:kWh (Gross CV) :: DEFRA:2022</v>
      </c>
      <c r="E6" s="104">
        <v>0.22209999999999999</v>
      </c>
      <c r="F6" s="104">
        <v>1.9040000000000002E-4</v>
      </c>
      <c r="G6" s="104">
        <v>1.1560402684563757E-4</v>
      </c>
      <c r="H6" s="104">
        <f>E6/'PAG100 FE GE'!$D$2</f>
        <v>0.22209999999999999</v>
      </c>
      <c r="I6" s="104">
        <f>F6/'PAG100 FE GE'!$D$3</f>
        <v>6.800000000000001E-6</v>
      </c>
      <c r="J6" s="106">
        <f>G6/'PAG100 FE GE'!$D$4</f>
        <v>4.3624161073825498E-7</v>
      </c>
      <c r="K6" s="111">
        <f>H6*'PAG100 FE GE'!$E$2+'FE DEFRA A1. Fuel Eq'!I6*'PAG100 FE GE'!$E$3+J6*'PAG100 FE GE'!$E$4</f>
        <v>0.22240881395973153</v>
      </c>
      <c r="L6" s="111">
        <f>H6*'PAG20 FE GE'!$E$2+'FE DEFRA A1. Fuel Eq'!I6*'PAG20 FE GE'!$E$3+J6*'PAG20 FE GE'!$E$4</f>
        <v>0.22277125395973152</v>
      </c>
      <c r="M6" s="111">
        <f>H6*'PAG100 FE GE'!$D$2+'FE DEFRA A1. Fuel Eq'!I6*'PAG100 FE GE'!$D$3+J6*'PAG100 FE GE'!$D$4</f>
        <v>0.22240600402684563</v>
      </c>
      <c r="N6" s="111">
        <f>H6*'PAG20 FE GE'!$D$2+'FE DEFRA A1. Fuel Eq'!I6*'PAG20 FE GE'!$D$3+J6*'PAG20 FE GE'!$D$4</f>
        <v>0.22279316778523489</v>
      </c>
      <c r="O6" s="111">
        <f>H6*'PAG100 FE GE'!$C$2+'FE DEFRA A1. Fuel Eq'!I6*'PAG100 FE GE'!$C$3+J6*'PAG100 FE GE'!$C$4</f>
        <v>0.22239999999999999</v>
      </c>
      <c r="P6" s="112">
        <f>H6*'PAG20 FE GE'!$C$2+'FE DEFRA A1. Fuel Eq'!I6*'PAG20 FE GE'!$C$3+J6*'PAG20 FE GE'!$C$4</f>
        <v>0.22271567382550336</v>
      </c>
      <c r="Q6" t="s">
        <v>428</v>
      </c>
      <c r="R6">
        <v>2022</v>
      </c>
    </row>
    <row r="7" spans="1:18" x14ac:dyDescent="0.25">
      <c r="A7" s="110" t="s">
        <v>108</v>
      </c>
      <c r="B7" s="103" t="s">
        <v>92</v>
      </c>
      <c r="C7" s="127" t="s">
        <v>131</v>
      </c>
      <c r="D7" s="205" t="str">
        <f t="shared" si="0"/>
        <v>GNC:tonnes :: DEFRA:2022</v>
      </c>
      <c r="E7" s="104">
        <v>2557.5300000000002</v>
      </c>
      <c r="F7" s="104">
        <v>3.8528000000000002</v>
      </c>
      <c r="G7" s="104">
        <v>1.1916107382550336</v>
      </c>
      <c r="H7" s="104">
        <f>E7/'PAG100 FE GE'!$D$2</f>
        <v>2557.5300000000002</v>
      </c>
      <c r="I7" s="104">
        <f>F7/'PAG100 FE GE'!$D$3</f>
        <v>0.1376</v>
      </c>
      <c r="J7" s="106">
        <f>G7/'PAG100 FE GE'!$D$4</f>
        <v>4.4966442953020139E-3</v>
      </c>
      <c r="K7" s="111">
        <f>H7*'PAG100 FE GE'!$E$2+'FE DEFRA A1. Fuel Eq'!I7*'PAG100 FE GE'!$E$3+J7*'PAG100 FE GE'!$E$4</f>
        <v>2562.5966238926176</v>
      </c>
      <c r="L7" s="111">
        <f>H7*'PAG20 FE GE'!$E$2+'FE DEFRA A1. Fuel Eq'!I7*'PAG20 FE GE'!$E$3+J7*'PAG20 FE GE'!$E$4</f>
        <v>2569.9307038926177</v>
      </c>
      <c r="M7" s="111">
        <f>H7*'PAG100 FE GE'!$D$2+'FE DEFRA A1. Fuel Eq'!I7*'PAG100 FE GE'!$D$3+J7*'PAG100 FE GE'!$D$4</f>
        <v>2562.5744107382552</v>
      </c>
      <c r="N7" s="111">
        <f>H7*'PAG20 FE GE'!$D$2+'FE DEFRA A1. Fuel Eq'!I7*'PAG20 FE GE'!$D$3+J7*'PAG20 FE GE'!$D$4</f>
        <v>2570.4131140939598</v>
      </c>
      <c r="O7" s="111">
        <f>H7*'PAG100 FE GE'!$C$2+'FE DEFRA A1. Fuel Eq'!I7*'PAG100 FE GE'!$C$3+J7*'PAG100 FE GE'!$C$4</f>
        <v>2562.3100000000004</v>
      </c>
      <c r="P7" s="112">
        <f>H7*'PAG20 FE GE'!$C$2+'FE DEFRA A1. Fuel Eq'!I7*'PAG20 FE GE'!$C$3+J7*'PAG20 FE GE'!$C$4</f>
        <v>2568.7367302013427</v>
      </c>
      <c r="Q7" t="s">
        <v>428</v>
      </c>
      <c r="R7">
        <v>2022</v>
      </c>
    </row>
    <row r="8" spans="1:18" x14ac:dyDescent="0.25">
      <c r="A8" s="110" t="s">
        <v>108</v>
      </c>
      <c r="B8" s="103" t="s">
        <v>92</v>
      </c>
      <c r="C8" s="127" t="s">
        <v>57</v>
      </c>
      <c r="D8" s="205" t="str">
        <f t="shared" si="0"/>
        <v>GNC:kg :: DEFRA:2022</v>
      </c>
      <c r="E8" s="104">
        <f>E7/1000</f>
        <v>2.5575300000000003</v>
      </c>
      <c r="F8" s="104">
        <f t="shared" ref="F8" si="2">F7/1000</f>
        <v>3.8528000000000004E-3</v>
      </c>
      <c r="G8" s="104">
        <f t="shared" ref="G8" si="3">G7/1000</f>
        <v>1.1916107382550336E-3</v>
      </c>
      <c r="H8" s="104">
        <f>E8/'PAG100 FE GE'!$D$2</f>
        <v>2.5575300000000003</v>
      </c>
      <c r="I8" s="104">
        <f>F8/'PAG100 FE GE'!$D$3</f>
        <v>1.3760000000000001E-4</v>
      </c>
      <c r="J8" s="106">
        <f>G8/'PAG100 FE GE'!$D$4</f>
        <v>4.4966442953020135E-6</v>
      </c>
      <c r="K8" s="111">
        <f>H8*'PAG100 FE GE'!$E$2+'FE DEFRA A1. Fuel Eq'!I8*'PAG100 FE GE'!$E$3+J8*'PAG100 FE GE'!$E$4</f>
        <v>2.5625966238926177</v>
      </c>
      <c r="L8" s="111">
        <f>H8*'PAG20 FE GE'!$E$2+'FE DEFRA A1. Fuel Eq'!I8*'PAG20 FE GE'!$E$3+J8*'PAG20 FE GE'!$E$4</f>
        <v>2.5699307038926178</v>
      </c>
      <c r="M8" s="111">
        <f>H8*'PAG100 FE GE'!$D$2+'FE DEFRA A1. Fuel Eq'!I8*'PAG100 FE GE'!$D$3+J8*'PAG100 FE GE'!$D$4</f>
        <v>2.5625744107382555</v>
      </c>
      <c r="N8" s="111">
        <f>H8*'PAG20 FE GE'!$D$2+'FE DEFRA A1. Fuel Eq'!I8*'PAG20 FE GE'!$D$3+J8*'PAG20 FE GE'!$D$4</f>
        <v>2.5704131140939603</v>
      </c>
      <c r="O8" s="111">
        <f>H8*'PAG100 FE GE'!$C$2+'FE DEFRA A1. Fuel Eq'!I8*'PAG100 FE GE'!$C$3+J8*'PAG100 FE GE'!$C$4</f>
        <v>2.5623100000000001</v>
      </c>
      <c r="P8" s="112">
        <f>H8*'PAG20 FE GE'!$C$2+'FE DEFRA A1. Fuel Eq'!I8*'PAG20 FE GE'!$C$3+J8*'PAG20 FE GE'!$C$4</f>
        <v>2.5687367302013424</v>
      </c>
      <c r="Q8" t="s">
        <v>428</v>
      </c>
      <c r="R8">
        <v>2022</v>
      </c>
    </row>
    <row r="9" spans="1:18" x14ac:dyDescent="0.25">
      <c r="A9" s="110" t="s">
        <v>108</v>
      </c>
      <c r="B9" s="103" t="s">
        <v>92</v>
      </c>
      <c r="C9" s="127" t="s">
        <v>55</v>
      </c>
      <c r="D9" s="205" t="str">
        <f t="shared" si="0"/>
        <v>GNC:l :: DEFRA:2022</v>
      </c>
      <c r="E9" s="104">
        <v>0.44757000000000002</v>
      </c>
      <c r="F9" s="104">
        <v>6.7199999999999996E-4</v>
      </c>
      <c r="G9" s="104">
        <v>2.0453020134228187E-4</v>
      </c>
      <c r="H9" s="104">
        <f>E9/'PAG100 FE GE'!$D$2</f>
        <v>0.44757000000000002</v>
      </c>
      <c r="I9" s="104">
        <f>F9/'PAG100 FE GE'!$D$3</f>
        <v>2.3999999999999997E-5</v>
      </c>
      <c r="J9" s="106">
        <f>G9/'PAG100 FE GE'!$D$4</f>
        <v>7.7181208053691275E-7</v>
      </c>
      <c r="K9" s="111">
        <f>H9*'PAG100 FE GE'!$E$2+'FE DEFRA A1. Fuel Eq'!I9*'PAG100 FE GE'!$E$3+J9*'PAG100 FE GE'!$E$4</f>
        <v>0.44845030469798658</v>
      </c>
      <c r="L9" s="111">
        <f>H9*'PAG20 FE GE'!$E$2+'FE DEFRA A1. Fuel Eq'!I9*'PAG20 FE GE'!$E$3+J9*'PAG20 FE GE'!$E$4</f>
        <v>0.44972950469798656</v>
      </c>
      <c r="M9" s="111">
        <f>H9*'PAG100 FE GE'!$D$2+'FE DEFRA A1. Fuel Eq'!I9*'PAG100 FE GE'!$D$3+J9*'PAG100 FE GE'!$D$4</f>
        <v>0.44844653020134229</v>
      </c>
      <c r="N9" s="111">
        <f>H9*'PAG20 FE GE'!$D$2+'FE DEFRA A1. Fuel Eq'!I9*'PAG20 FE GE'!$D$3+J9*'PAG20 FE GE'!$D$4</f>
        <v>0.44981375838926174</v>
      </c>
      <c r="O9" s="111">
        <f>H9*'PAG100 FE GE'!$C$2+'FE DEFRA A1. Fuel Eq'!I9*'PAG100 FE GE'!$C$3+J9*'PAG100 FE GE'!$C$4</f>
        <v>0.44840000000000002</v>
      </c>
      <c r="P9" s="112">
        <f>H9*'PAG20 FE GE'!$C$2+'FE DEFRA A1. Fuel Eq'!I9*'PAG20 FE GE'!$C$3+J9*'PAG20 FE GE'!$C$4</f>
        <v>0.44952105369127521</v>
      </c>
      <c r="Q9" t="s">
        <v>428</v>
      </c>
      <c r="R9">
        <v>2022</v>
      </c>
    </row>
    <row r="10" spans="1:18" x14ac:dyDescent="0.25">
      <c r="A10" s="110" t="s">
        <v>108</v>
      </c>
      <c r="B10" s="103" t="s">
        <v>92</v>
      </c>
      <c r="C10" s="127" t="s">
        <v>133</v>
      </c>
      <c r="D10" s="205" t="str">
        <f t="shared" si="0"/>
        <v>GNC:kWh (Net CV) :: DEFRA:2022</v>
      </c>
      <c r="E10" s="104">
        <v>0.20226</v>
      </c>
      <c r="F10" s="104">
        <v>3.1359999999999998E-4</v>
      </c>
      <c r="G10" s="104">
        <v>9.7818791946308734E-5</v>
      </c>
      <c r="H10" s="104">
        <f>E10/'PAG100 FE GE'!$D$2</f>
        <v>0.20226</v>
      </c>
      <c r="I10" s="104">
        <f>F10/'PAG100 FE GE'!$D$3</f>
        <v>1.1199999999999999E-5</v>
      </c>
      <c r="J10" s="106">
        <f>G10/'PAG100 FE GE'!$D$4</f>
        <v>3.6912751677852351E-7</v>
      </c>
      <c r="K10" s="111">
        <f>H10*'PAG100 FE GE'!$E$2+'FE DEFRA A1. Fuel Eq'!I10*'PAG100 FE GE'!$E$3+J10*'PAG100 FE GE'!$E$4</f>
        <v>0.20267325181208054</v>
      </c>
      <c r="L10" s="111">
        <f>H10*'PAG20 FE GE'!$E$2+'FE DEFRA A1. Fuel Eq'!I10*'PAG20 FE GE'!$E$3+J10*'PAG20 FE GE'!$E$4</f>
        <v>0.20327021181208055</v>
      </c>
      <c r="M10" s="111">
        <f>H10*'PAG100 FE GE'!$D$2+'FE DEFRA A1. Fuel Eq'!I10*'PAG100 FE GE'!$D$3+J10*'PAG100 FE GE'!$D$4</f>
        <v>0.20267141879194631</v>
      </c>
      <c r="N10" s="111">
        <f>H10*'PAG20 FE GE'!$D$2+'FE DEFRA A1. Fuel Eq'!I10*'PAG20 FE GE'!$D$3+J10*'PAG20 FE GE'!$D$4</f>
        <v>0.20330944966442954</v>
      </c>
      <c r="O10" s="111">
        <f>H10*'PAG100 FE GE'!$C$2+'FE DEFRA A1. Fuel Eq'!I10*'PAG100 FE GE'!$C$3+J10*'PAG100 FE GE'!$C$4</f>
        <v>0.20265</v>
      </c>
      <c r="P10" s="112">
        <f>H10*'PAG20 FE GE'!$C$2+'FE DEFRA A1. Fuel Eq'!I10*'PAG20 FE GE'!$C$3+J10*'PAG20 FE GE'!$C$4</f>
        <v>0.203173077852349</v>
      </c>
      <c r="Q10" t="s">
        <v>428</v>
      </c>
      <c r="R10">
        <v>2022</v>
      </c>
    </row>
    <row r="11" spans="1:18" x14ac:dyDescent="0.25">
      <c r="A11" s="110" t="s">
        <v>108</v>
      </c>
      <c r="B11" s="103" t="s">
        <v>92</v>
      </c>
      <c r="C11" s="127" t="s">
        <v>134</v>
      </c>
      <c r="D11" s="205" t="str">
        <f t="shared" si="0"/>
        <v>GNC:kWh (Gross CV) :: DEFRA:2022</v>
      </c>
      <c r="E11" s="104">
        <v>0.18256</v>
      </c>
      <c r="F11" s="104">
        <v>2.8000000000000003E-4</v>
      </c>
      <c r="G11" s="104">
        <v>8.8926174496644302E-5</v>
      </c>
      <c r="H11" s="104">
        <f>E11/'PAG100 FE GE'!$D$2</f>
        <v>0.18256</v>
      </c>
      <c r="I11" s="104">
        <f>F11/'PAG100 FE GE'!$D$3</f>
        <v>1.0000000000000001E-5</v>
      </c>
      <c r="J11" s="106">
        <f>G11/'PAG100 FE GE'!$D$4</f>
        <v>3.3557046979865772E-7</v>
      </c>
      <c r="K11" s="111">
        <f>H11*'PAG100 FE GE'!$E$2+'FE DEFRA A1. Fuel Eq'!I11*'PAG100 FE GE'!$E$3+J11*'PAG100 FE GE'!$E$4</f>
        <v>0.18293061073825503</v>
      </c>
      <c r="L11" s="111">
        <f>H11*'PAG20 FE GE'!$E$2+'FE DEFRA A1. Fuel Eq'!I11*'PAG20 FE GE'!$E$3+J11*'PAG20 FE GE'!$E$4</f>
        <v>0.18346361073825504</v>
      </c>
      <c r="M11" s="111">
        <f>H11*'PAG100 FE GE'!$D$2+'FE DEFRA A1. Fuel Eq'!I11*'PAG100 FE GE'!$D$3+J11*'PAG100 FE GE'!$D$4</f>
        <v>0.18292892617449666</v>
      </c>
      <c r="N11" s="111">
        <f>H11*'PAG20 FE GE'!$D$2+'FE DEFRA A1. Fuel Eq'!I11*'PAG20 FE GE'!$D$3+J11*'PAG20 FE GE'!$D$4</f>
        <v>0.18349859060402685</v>
      </c>
      <c r="O11" s="111">
        <f>H11*'PAG100 FE GE'!$C$2+'FE DEFRA A1. Fuel Eq'!I11*'PAG100 FE GE'!$C$3+J11*'PAG100 FE GE'!$C$4</f>
        <v>0.18290999999999999</v>
      </c>
      <c r="P11" s="112">
        <f>H11*'PAG20 FE GE'!$C$2+'FE DEFRA A1. Fuel Eq'!I11*'PAG20 FE GE'!$C$3+J11*'PAG20 FE GE'!$C$4</f>
        <v>0.18337697986577181</v>
      </c>
      <c r="Q11" t="s">
        <v>428</v>
      </c>
      <c r="R11">
        <v>2022</v>
      </c>
    </row>
    <row r="12" spans="1:18" x14ac:dyDescent="0.25">
      <c r="A12" s="110" t="s">
        <v>108</v>
      </c>
      <c r="B12" s="103" t="s">
        <v>95</v>
      </c>
      <c r="C12" s="127" t="s">
        <v>131</v>
      </c>
      <c r="D12" s="205" t="str">
        <f t="shared" si="0"/>
        <v>GNL:tonnes :: DEFRA:2022</v>
      </c>
      <c r="E12" s="104">
        <v>2576.94</v>
      </c>
      <c r="F12" s="104">
        <v>3.8528000000000002</v>
      </c>
      <c r="G12" s="104">
        <v>1.1916107382550336</v>
      </c>
      <c r="H12" s="104">
        <f>E12/'PAG100 FE GE'!$D$2</f>
        <v>2576.94</v>
      </c>
      <c r="I12" s="104">
        <f>F12/'PAG100 FE GE'!$D$3</f>
        <v>0.1376</v>
      </c>
      <c r="J12" s="106">
        <f>G12/'PAG100 FE GE'!$D$4</f>
        <v>4.4966442953020139E-3</v>
      </c>
      <c r="K12" s="111">
        <f>H12*'PAG100 FE GE'!$E$2+'FE DEFRA A1. Fuel Eq'!I12*'PAG100 FE GE'!$E$3+J12*'PAG100 FE GE'!$E$4</f>
        <v>2582.0066238926174</v>
      </c>
      <c r="L12" s="111">
        <f>H12*'PAG20 FE GE'!$E$2+'FE DEFRA A1. Fuel Eq'!I12*'PAG20 FE GE'!$E$3+J12*'PAG20 FE GE'!$E$4</f>
        <v>2589.3407038926175</v>
      </c>
      <c r="M12" s="111">
        <f>H12*'PAG100 FE GE'!$D$2+'FE DEFRA A1. Fuel Eq'!I12*'PAG100 FE GE'!$D$3+J12*'PAG100 FE GE'!$D$4</f>
        <v>2581.9844107382551</v>
      </c>
      <c r="N12" s="111">
        <f>H12*'PAG20 FE GE'!$D$2+'FE DEFRA A1. Fuel Eq'!I12*'PAG20 FE GE'!$D$3+J12*'PAG20 FE GE'!$D$4</f>
        <v>2589.8231140939597</v>
      </c>
      <c r="O12" s="111">
        <f>H12*'PAG100 FE GE'!$C$2+'FE DEFRA A1. Fuel Eq'!I12*'PAG100 FE GE'!$C$3+J12*'PAG100 FE GE'!$C$4</f>
        <v>2581.7200000000003</v>
      </c>
      <c r="P12" s="112">
        <f>H12*'PAG20 FE GE'!$C$2+'FE DEFRA A1. Fuel Eq'!I12*'PAG20 FE GE'!$C$3+J12*'PAG20 FE GE'!$C$4</f>
        <v>2588.1467302013425</v>
      </c>
      <c r="Q12" t="s">
        <v>428</v>
      </c>
      <c r="R12">
        <v>2022</v>
      </c>
    </row>
    <row r="13" spans="1:18" x14ac:dyDescent="0.25">
      <c r="A13" s="110" t="s">
        <v>108</v>
      </c>
      <c r="B13" s="103" t="s">
        <v>95</v>
      </c>
      <c r="C13" s="127" t="s">
        <v>57</v>
      </c>
      <c r="D13" s="205" t="str">
        <f t="shared" si="0"/>
        <v>GNL:kg :: DEFRA:2022</v>
      </c>
      <c r="E13" s="104">
        <f>E12/1000</f>
        <v>2.57694</v>
      </c>
      <c r="F13" s="104">
        <f t="shared" ref="F13" si="4">F12/1000</f>
        <v>3.8528000000000004E-3</v>
      </c>
      <c r="G13" s="104">
        <f t="shared" ref="G13" si="5">G12/1000</f>
        <v>1.1916107382550336E-3</v>
      </c>
      <c r="H13" s="104">
        <f>E13/'PAG100 FE GE'!$D$2</f>
        <v>2.57694</v>
      </c>
      <c r="I13" s="104">
        <f>F13/'PAG100 FE GE'!$D$3</f>
        <v>1.3760000000000001E-4</v>
      </c>
      <c r="J13" s="106">
        <f>G13/'PAG100 FE GE'!$D$4</f>
        <v>4.4966442953020135E-6</v>
      </c>
      <c r="K13" s="111">
        <f>H13*'PAG100 FE GE'!$E$2+'FE DEFRA A1. Fuel Eq'!I13*'PAG100 FE GE'!$E$3+J13*'PAG100 FE GE'!$E$4</f>
        <v>2.5820066238926174</v>
      </c>
      <c r="L13" s="111">
        <f>H13*'PAG20 FE GE'!$E$2+'FE DEFRA A1. Fuel Eq'!I13*'PAG20 FE GE'!$E$3+J13*'PAG20 FE GE'!$E$4</f>
        <v>2.5893407038926175</v>
      </c>
      <c r="M13" s="111">
        <f>H13*'PAG100 FE GE'!$D$2+'FE DEFRA A1. Fuel Eq'!I13*'PAG100 FE GE'!$D$3+J13*'PAG100 FE GE'!$D$4</f>
        <v>2.5819844107382552</v>
      </c>
      <c r="N13" s="111">
        <f>H13*'PAG20 FE GE'!$D$2+'FE DEFRA A1. Fuel Eq'!I13*'PAG20 FE GE'!$D$3+J13*'PAG20 FE GE'!$D$4</f>
        <v>2.58982311409396</v>
      </c>
      <c r="O13" s="111">
        <f>H13*'PAG100 FE GE'!$C$2+'FE DEFRA A1. Fuel Eq'!I13*'PAG100 FE GE'!$C$3+J13*'PAG100 FE GE'!$C$4</f>
        <v>2.5817199999999998</v>
      </c>
      <c r="P13" s="112">
        <f>H13*'PAG20 FE GE'!$C$2+'FE DEFRA A1. Fuel Eq'!I13*'PAG20 FE GE'!$C$3+J13*'PAG20 FE GE'!$C$4</f>
        <v>2.5881467302013421</v>
      </c>
      <c r="Q13" t="s">
        <v>428</v>
      </c>
      <c r="R13">
        <v>2022</v>
      </c>
    </row>
    <row r="14" spans="1:18" x14ac:dyDescent="0.25">
      <c r="A14" s="110" t="s">
        <v>108</v>
      </c>
      <c r="B14" s="103" t="s">
        <v>95</v>
      </c>
      <c r="C14" s="127" t="s">
        <v>55</v>
      </c>
      <c r="D14" s="205" t="str">
        <f t="shared" si="0"/>
        <v>GNL:l :: DEFRA:2022</v>
      </c>
      <c r="E14" s="104">
        <v>1.16604</v>
      </c>
      <c r="F14" s="104">
        <v>1.7472000000000002E-3</v>
      </c>
      <c r="G14" s="104">
        <v>5.4244966442953014E-4</v>
      </c>
      <c r="H14" s="104">
        <f>E14/'PAG100 FE GE'!$D$2</f>
        <v>1.16604</v>
      </c>
      <c r="I14" s="104">
        <f>F14/'PAG100 FE GE'!$D$3</f>
        <v>6.2400000000000012E-5</v>
      </c>
      <c r="J14" s="106">
        <f>G14/'PAG100 FE GE'!$D$4</f>
        <v>2.0469798657718119E-6</v>
      </c>
      <c r="K14" s="111">
        <f>H14*'PAG100 FE GE'!$E$2+'FE DEFRA A1. Fuel Eq'!I14*'PAG100 FE GE'!$E$3+J14*'PAG100 FE GE'!$E$4</f>
        <v>1.1683397855033557</v>
      </c>
      <c r="L14" s="111">
        <f>H14*'PAG20 FE GE'!$E$2+'FE DEFRA A1. Fuel Eq'!I14*'PAG20 FE GE'!$E$3+J14*'PAG20 FE GE'!$E$4</f>
        <v>1.1716657055033557</v>
      </c>
      <c r="M14" s="111">
        <f>H14*'PAG100 FE GE'!$D$2+'FE DEFRA A1. Fuel Eq'!I14*'PAG100 FE GE'!$D$3+J14*'PAG100 FE GE'!$D$4</f>
        <v>1.1683296496644295</v>
      </c>
      <c r="N14" s="111">
        <f>H14*'PAG20 FE GE'!$D$2+'FE DEFRA A1. Fuel Eq'!I14*'PAG20 FE GE'!$D$3+J14*'PAG20 FE GE'!$D$4</f>
        <v>1.1718844026845636</v>
      </c>
      <c r="O14" s="111">
        <f>H14*'PAG100 FE GE'!$C$2+'FE DEFRA A1. Fuel Eq'!I14*'PAG100 FE GE'!$C$3+J14*'PAG100 FE GE'!$C$4</f>
        <v>1.16821</v>
      </c>
      <c r="P14" s="112">
        <f>H14*'PAG20 FE GE'!$C$2+'FE DEFRA A1. Fuel Eq'!I14*'PAG20 FE GE'!$C$3+J14*'PAG20 FE GE'!$C$4</f>
        <v>1.1711243771812079</v>
      </c>
      <c r="Q14" t="s">
        <v>428</v>
      </c>
      <c r="R14">
        <v>2022</v>
      </c>
    </row>
    <row r="15" spans="1:18" x14ac:dyDescent="0.25">
      <c r="A15" s="110" t="s">
        <v>108</v>
      </c>
      <c r="B15" s="103" t="s">
        <v>95</v>
      </c>
      <c r="C15" s="127" t="s">
        <v>133</v>
      </c>
      <c r="D15" s="205" t="str">
        <f t="shared" si="0"/>
        <v>GNL:kWh (Net CV) :: DEFRA:2022</v>
      </c>
      <c r="E15" s="102">
        <v>0.20379</v>
      </c>
      <c r="F15" s="104">
        <v>3.1359999999999998E-4</v>
      </c>
      <c r="G15" s="104">
        <v>9.7818791946308734E-5</v>
      </c>
      <c r="H15" s="104">
        <f>E15/'PAG100 FE GE'!$D$2</f>
        <v>0.20379</v>
      </c>
      <c r="I15" s="104">
        <f>F15/'PAG100 FE GE'!$D$3</f>
        <v>1.1199999999999999E-5</v>
      </c>
      <c r="J15" s="106">
        <f>G15/'PAG100 FE GE'!$D$4</f>
        <v>3.6912751677852351E-7</v>
      </c>
      <c r="K15" s="111">
        <f>H15*'PAG100 FE GE'!$E$2+'FE DEFRA A1. Fuel Eq'!I15*'PAG100 FE GE'!$E$3+J15*'PAG100 FE GE'!$E$4</f>
        <v>0.20420325181208054</v>
      </c>
      <c r="L15" s="111">
        <f>H15*'PAG20 FE GE'!$E$2+'FE DEFRA A1. Fuel Eq'!I15*'PAG20 FE GE'!$E$3+J15*'PAG20 FE GE'!$E$4</f>
        <v>0.20480021181208055</v>
      </c>
      <c r="M15" s="111">
        <f>H15*'PAG100 FE GE'!$D$2+'FE DEFRA A1. Fuel Eq'!I15*'PAG100 FE GE'!$D$3+J15*'PAG100 FE GE'!$D$4</f>
        <v>0.20420141879194631</v>
      </c>
      <c r="N15" s="111">
        <f>H15*'PAG20 FE GE'!$D$2+'FE DEFRA A1. Fuel Eq'!I15*'PAG20 FE GE'!$D$3+J15*'PAG20 FE GE'!$D$4</f>
        <v>0.20483944966442955</v>
      </c>
      <c r="O15" s="111">
        <f>H15*'PAG100 FE GE'!$C$2+'FE DEFRA A1. Fuel Eq'!I15*'PAG100 FE GE'!$C$3+J15*'PAG100 FE GE'!$C$4</f>
        <v>0.20418</v>
      </c>
      <c r="P15" s="112">
        <f>H15*'PAG20 FE GE'!$C$2+'FE DEFRA A1. Fuel Eq'!I15*'PAG20 FE GE'!$C$3+J15*'PAG20 FE GE'!$C$4</f>
        <v>0.20470307785234901</v>
      </c>
      <c r="Q15" t="s">
        <v>428</v>
      </c>
      <c r="R15">
        <v>2022</v>
      </c>
    </row>
    <row r="16" spans="1:18" x14ac:dyDescent="0.25">
      <c r="A16" s="110" t="s">
        <v>108</v>
      </c>
      <c r="B16" s="103" t="s">
        <v>95</v>
      </c>
      <c r="C16" s="127" t="s">
        <v>134</v>
      </c>
      <c r="D16" s="205" t="str">
        <f t="shared" si="0"/>
        <v>GNL:kWh (Gross CV) :: DEFRA:2022</v>
      </c>
      <c r="E16" s="104">
        <v>0.18395</v>
      </c>
      <c r="F16" s="104">
        <v>2.8000000000000003E-4</v>
      </c>
      <c r="G16" s="104">
        <v>8.8926174496644302E-5</v>
      </c>
      <c r="H16" s="104">
        <f>E16/'PAG100 FE GE'!$D$2</f>
        <v>0.18395</v>
      </c>
      <c r="I16" s="104">
        <f>F16/'PAG100 FE GE'!$D$3</f>
        <v>1.0000000000000001E-5</v>
      </c>
      <c r="J16" s="106">
        <f>G16/'PAG100 FE GE'!$D$4</f>
        <v>3.3557046979865772E-7</v>
      </c>
      <c r="K16" s="111">
        <f>H16*'PAG100 FE GE'!$E$2+'FE DEFRA A1. Fuel Eq'!I16*'PAG100 FE GE'!$E$3+J16*'PAG100 FE GE'!$E$4</f>
        <v>0.18432061073825504</v>
      </c>
      <c r="L16" s="111">
        <f>H16*'PAG20 FE GE'!$E$2+'FE DEFRA A1. Fuel Eq'!I16*'PAG20 FE GE'!$E$3+J16*'PAG20 FE GE'!$E$4</f>
        <v>0.18485361073825504</v>
      </c>
      <c r="M16" s="111">
        <f>H16*'PAG100 FE GE'!$D$2+'FE DEFRA A1. Fuel Eq'!I16*'PAG100 FE GE'!$D$3+J16*'PAG100 FE GE'!$D$4</f>
        <v>0.18431892617449666</v>
      </c>
      <c r="N16" s="111">
        <f>H16*'PAG20 FE GE'!$D$2+'FE DEFRA A1. Fuel Eq'!I16*'PAG20 FE GE'!$D$3+J16*'PAG20 FE GE'!$D$4</f>
        <v>0.18488859060402685</v>
      </c>
      <c r="O16" s="111">
        <f>H16*'PAG100 FE GE'!$C$2+'FE DEFRA A1. Fuel Eq'!I16*'PAG100 FE GE'!$C$3+J16*'PAG100 FE GE'!$C$4</f>
        <v>0.18429999999999999</v>
      </c>
      <c r="P16" s="112">
        <f>H16*'PAG20 FE GE'!$C$2+'FE DEFRA A1. Fuel Eq'!I16*'PAG20 FE GE'!$C$3+J16*'PAG20 FE GE'!$C$4</f>
        <v>0.18476697986577181</v>
      </c>
      <c r="Q16" t="s">
        <v>428</v>
      </c>
      <c r="R16">
        <v>2022</v>
      </c>
    </row>
    <row r="17" spans="1:18" x14ac:dyDescent="0.25">
      <c r="A17" s="110" t="s">
        <v>108</v>
      </c>
      <c r="B17" s="103" t="s">
        <v>44</v>
      </c>
      <c r="C17" s="127" t="s">
        <v>131</v>
      </c>
      <c r="D17" s="205" t="str">
        <f t="shared" si="0"/>
        <v>GPL:tonnes :: DEFRA:2022</v>
      </c>
      <c r="E17" s="104">
        <v>2935.18</v>
      </c>
      <c r="F17" s="104">
        <v>2.5535999999999999</v>
      </c>
      <c r="G17" s="104">
        <v>1.6273489932885907</v>
      </c>
      <c r="H17" s="104">
        <f>E17/'PAG100 FE GE'!$D$2</f>
        <v>2935.18</v>
      </c>
      <c r="I17" s="104">
        <f>F17/'PAG100 FE GE'!$D$3</f>
        <v>9.1199999999999989E-2</v>
      </c>
      <c r="J17" s="106">
        <f>G17/'PAG100 FE GE'!$D$4</f>
        <v>6.1409395973154365E-3</v>
      </c>
      <c r="K17" s="111">
        <f>H17*'PAG100 FE GE'!$E$2+'FE DEFRA A1. Fuel Eq'!I17*'PAG100 FE GE'!$E$3+J17*'PAG100 FE GE'!$E$4</f>
        <v>2939.4009565100669</v>
      </c>
      <c r="L17" s="111">
        <f>H17*'PAG20 FE GE'!$E$2+'FE DEFRA A1. Fuel Eq'!I17*'PAG20 FE GE'!$E$3+J17*'PAG20 FE GE'!$E$4</f>
        <v>2944.2619165100668</v>
      </c>
      <c r="M17" s="111">
        <f>H17*'PAG100 FE GE'!$D$2+'FE DEFRA A1. Fuel Eq'!I17*'PAG100 FE GE'!$D$3+J17*'PAG100 FE GE'!$D$4</f>
        <v>2939.3609489932887</v>
      </c>
      <c r="N17" s="111">
        <f>H17*'PAG20 FE GE'!$D$2+'FE DEFRA A1. Fuel Eq'!I17*'PAG20 FE GE'!$D$3+J17*'PAG20 FE GE'!$D$4</f>
        <v>2944.5532080536909</v>
      </c>
      <c r="O17" s="111">
        <f>H17*'PAG100 FE GE'!$C$2+'FE DEFRA A1. Fuel Eq'!I17*'PAG100 FE GE'!$C$3+J17*'PAG100 FE GE'!$C$4</f>
        <v>2939.29</v>
      </c>
      <c r="P17" s="112">
        <f>H17*'PAG20 FE GE'!$C$2+'FE DEFRA A1. Fuel Eq'!I17*'PAG20 FE GE'!$C$3+J17*'PAG20 FE GE'!$C$4</f>
        <v>2943.5211315436241</v>
      </c>
      <c r="Q17" t="s">
        <v>428</v>
      </c>
      <c r="R17">
        <v>2022</v>
      </c>
    </row>
    <row r="18" spans="1:18" x14ac:dyDescent="0.25">
      <c r="A18" s="110" t="s">
        <v>108</v>
      </c>
      <c r="B18" s="103" t="s">
        <v>44</v>
      </c>
      <c r="C18" s="127" t="s">
        <v>57</v>
      </c>
      <c r="D18" s="205" t="str">
        <f t="shared" si="0"/>
        <v>GPL:kg :: DEFRA:2022</v>
      </c>
      <c r="E18" s="104">
        <f>E17/1000</f>
        <v>2.9351799999999999</v>
      </c>
      <c r="F18" s="104">
        <f t="shared" ref="F18" si="6">F17/1000</f>
        <v>2.5536000000000001E-3</v>
      </c>
      <c r="G18" s="104">
        <f t="shared" ref="G18" si="7">G17/1000</f>
        <v>1.6273489932885907E-3</v>
      </c>
      <c r="H18" s="104">
        <f>E18/'PAG100 FE GE'!$D$2</f>
        <v>2.9351799999999999</v>
      </c>
      <c r="I18" s="104">
        <f>F18/'PAG100 FE GE'!$D$3</f>
        <v>9.1200000000000008E-5</v>
      </c>
      <c r="J18" s="106">
        <f>G18/'PAG100 FE GE'!$D$4</f>
        <v>6.1409395973154371E-6</v>
      </c>
      <c r="K18" s="111">
        <f>H18*'PAG100 FE GE'!$E$2+'FE DEFRA A1. Fuel Eq'!I18*'PAG100 FE GE'!$E$3+J18*'PAG100 FE GE'!$E$4</f>
        <v>2.9394009565100672</v>
      </c>
      <c r="L18" s="111">
        <f>H18*'PAG20 FE GE'!$E$2+'FE DEFRA A1. Fuel Eq'!I18*'PAG20 FE GE'!$E$3+J18*'PAG20 FE GE'!$E$4</f>
        <v>2.944261916510067</v>
      </c>
      <c r="M18" s="111">
        <f>H18*'PAG100 FE GE'!$D$2+'FE DEFRA A1. Fuel Eq'!I18*'PAG100 FE GE'!$D$3+J18*'PAG100 FE GE'!$D$4</f>
        <v>2.9393609489932886</v>
      </c>
      <c r="N18" s="111">
        <f>H18*'PAG20 FE GE'!$D$2+'FE DEFRA A1. Fuel Eq'!I18*'PAG20 FE GE'!$D$3+J18*'PAG20 FE GE'!$D$4</f>
        <v>2.9445532080536911</v>
      </c>
      <c r="O18" s="111">
        <f>H18*'PAG100 FE GE'!$C$2+'FE DEFRA A1. Fuel Eq'!I18*'PAG100 FE GE'!$C$3+J18*'PAG100 FE GE'!$C$4</f>
        <v>2.9392899999999997</v>
      </c>
      <c r="P18" s="112">
        <f>H18*'PAG20 FE GE'!$C$2+'FE DEFRA A1. Fuel Eq'!I18*'PAG20 FE GE'!$C$3+J18*'PAG20 FE GE'!$C$4</f>
        <v>2.943521131543624</v>
      </c>
      <c r="Q18" t="s">
        <v>428</v>
      </c>
      <c r="R18">
        <v>2022</v>
      </c>
    </row>
    <row r="19" spans="1:18" x14ac:dyDescent="0.25">
      <c r="A19" s="110" t="s">
        <v>108</v>
      </c>
      <c r="B19" s="103" t="s">
        <v>44</v>
      </c>
      <c r="C19" s="127" t="s">
        <v>55</v>
      </c>
      <c r="D19" s="205" t="str">
        <f t="shared" si="0"/>
        <v>GPL:l :: DEFRA:2022</v>
      </c>
      <c r="E19" s="104">
        <v>1.55491</v>
      </c>
      <c r="F19" s="104">
        <v>1.3552E-3</v>
      </c>
      <c r="G19" s="104">
        <v>8.6258389261744967E-4</v>
      </c>
      <c r="H19" s="104">
        <f>E19/'PAG100 FE GE'!$D$2</f>
        <v>1.55491</v>
      </c>
      <c r="I19" s="104">
        <f>F19/'PAG100 FE GE'!$D$3</f>
        <v>4.8399999999999997E-5</v>
      </c>
      <c r="J19" s="106">
        <f>G19/'PAG100 FE GE'!$D$4</f>
        <v>3.2550335570469801E-6</v>
      </c>
      <c r="K19" s="111">
        <f>H19*'PAG100 FE GE'!$E$2+'FE DEFRA A1. Fuel Eq'!I19*'PAG100 FE GE'!$E$3+J19*'PAG100 FE GE'!$E$4</f>
        <v>1.5571489841610739</v>
      </c>
      <c r="L19" s="111">
        <f>H19*'PAG20 FE GE'!$E$2+'FE DEFRA A1. Fuel Eq'!I19*'PAG20 FE GE'!$E$3+J19*'PAG20 FE GE'!$E$4</f>
        <v>1.5597287041610739</v>
      </c>
      <c r="M19" s="111">
        <f>H19*'PAG100 FE GE'!$D$2+'FE DEFRA A1. Fuel Eq'!I19*'PAG100 FE GE'!$D$3+J19*'PAG100 FE GE'!$D$4</f>
        <v>1.5571277838926174</v>
      </c>
      <c r="N19" s="111">
        <f>H19*'PAG20 FE GE'!$D$2+'FE DEFRA A1. Fuel Eq'!I19*'PAG20 FE GE'!$D$3+J19*'PAG20 FE GE'!$D$4</f>
        <v>1.5598833288590603</v>
      </c>
      <c r="O19" s="111">
        <f>H19*'PAG100 FE GE'!$C$2+'FE DEFRA A1. Fuel Eq'!I19*'PAG100 FE GE'!$C$3+J19*'PAG100 FE GE'!$C$4</f>
        <v>1.5570899999999999</v>
      </c>
      <c r="P19" s="112">
        <f>H19*'PAG20 FE GE'!$C$2+'FE DEFRA A1. Fuel Eq'!I19*'PAG20 FE GE'!$C$3+J19*'PAG20 FE GE'!$C$4</f>
        <v>1.5593355046979867</v>
      </c>
      <c r="Q19" t="s">
        <v>428</v>
      </c>
      <c r="R19">
        <v>2022</v>
      </c>
    </row>
    <row r="20" spans="1:18" x14ac:dyDescent="0.25">
      <c r="A20" s="110" t="s">
        <v>108</v>
      </c>
      <c r="B20" s="103" t="s">
        <v>44</v>
      </c>
      <c r="C20" s="127" t="s">
        <v>133</v>
      </c>
      <c r="D20" s="205" t="str">
        <f t="shared" si="0"/>
        <v>GPL:kWh (Net CV) :: DEFRA:2022</v>
      </c>
      <c r="E20" s="104">
        <v>0.22999</v>
      </c>
      <c r="F20" s="104">
        <v>2.0160000000000002E-4</v>
      </c>
      <c r="G20" s="104">
        <v>1.2449664429530201E-4</v>
      </c>
      <c r="H20" s="104">
        <f>E20/'PAG100 FE GE'!$D$2</f>
        <v>0.22999</v>
      </c>
      <c r="I20" s="104">
        <f>F20/'PAG100 FE GE'!$D$3</f>
        <v>7.2000000000000005E-6</v>
      </c>
      <c r="J20" s="106">
        <f>G20/'PAG100 FE GE'!$D$4</f>
        <v>4.6979865771812082E-7</v>
      </c>
      <c r="K20" s="111">
        <f>H20*'PAG100 FE GE'!$E$2+'FE DEFRA A1. Fuel Eq'!I20*'PAG100 FE GE'!$E$3+J20*'PAG100 FE GE'!$E$4</f>
        <v>0.23031913503355703</v>
      </c>
      <c r="L20" s="111">
        <f>H20*'PAG20 FE GE'!$E$2+'FE DEFRA A1. Fuel Eq'!I20*'PAG20 FE GE'!$E$3+J20*'PAG20 FE GE'!$E$4</f>
        <v>0.23070289503355704</v>
      </c>
      <c r="M20" s="111">
        <f>H20*'PAG100 FE GE'!$D$2+'FE DEFRA A1. Fuel Eq'!I20*'PAG100 FE GE'!$D$3+J20*'PAG100 FE GE'!$D$4</f>
        <v>0.23031609664429531</v>
      </c>
      <c r="N20" s="111">
        <f>H20*'PAG20 FE GE'!$D$2+'FE DEFRA A1. Fuel Eq'!I20*'PAG20 FE GE'!$D$3+J20*'PAG20 FE GE'!$D$4</f>
        <v>0.23072602684563759</v>
      </c>
      <c r="O20" s="111">
        <f>H20*'PAG100 FE GE'!$C$2+'FE DEFRA A1. Fuel Eq'!I20*'PAG100 FE GE'!$C$3+J20*'PAG100 FE GE'!$C$4</f>
        <v>0.23031000000000001</v>
      </c>
      <c r="P20" s="112">
        <f>H20*'PAG20 FE GE'!$C$2+'FE DEFRA A1. Fuel Eq'!I20*'PAG20 FE GE'!$C$3+J20*'PAG20 FE GE'!$C$4</f>
        <v>0.23064417181208055</v>
      </c>
      <c r="Q20" t="s">
        <v>428</v>
      </c>
      <c r="R20">
        <v>2022</v>
      </c>
    </row>
    <row r="21" spans="1:18" x14ac:dyDescent="0.25">
      <c r="A21" s="110" t="s">
        <v>108</v>
      </c>
      <c r="B21" s="103" t="s">
        <v>44</v>
      </c>
      <c r="C21" s="127" t="s">
        <v>134</v>
      </c>
      <c r="D21" s="205" t="str">
        <f t="shared" si="0"/>
        <v>GPL:kWh (Gross CV) :: DEFRA:2022</v>
      </c>
      <c r="E21" s="104">
        <v>0.21418999999999999</v>
      </c>
      <c r="F21" s="104">
        <v>1.9040000000000002E-4</v>
      </c>
      <c r="G21" s="104">
        <v>1.1560402684563757E-4</v>
      </c>
      <c r="H21" s="104">
        <f>E21/'PAG100 FE GE'!$D$2</f>
        <v>0.21418999999999999</v>
      </c>
      <c r="I21" s="104">
        <f>F21/'PAG100 FE GE'!$D$3</f>
        <v>6.800000000000001E-6</v>
      </c>
      <c r="J21" s="106">
        <f>G21/'PAG100 FE GE'!$D$4</f>
        <v>4.3624161073825498E-7</v>
      </c>
      <c r="K21" s="111">
        <f>H21*'PAG100 FE GE'!$E$2+'FE DEFRA A1. Fuel Eq'!I21*'PAG100 FE GE'!$E$3+J21*'PAG100 FE GE'!$E$4</f>
        <v>0.21449881395973153</v>
      </c>
      <c r="L21" s="111">
        <f>H21*'PAG20 FE GE'!$E$2+'FE DEFRA A1. Fuel Eq'!I21*'PAG20 FE GE'!$E$3+J21*'PAG20 FE GE'!$E$4</f>
        <v>0.21486125395973152</v>
      </c>
      <c r="M21" s="111">
        <f>H21*'PAG100 FE GE'!$D$2+'FE DEFRA A1. Fuel Eq'!I21*'PAG100 FE GE'!$D$3+J21*'PAG100 FE GE'!$D$4</f>
        <v>0.21449600402684563</v>
      </c>
      <c r="N21" s="111">
        <f>H21*'PAG20 FE GE'!$D$2+'FE DEFRA A1. Fuel Eq'!I21*'PAG20 FE GE'!$D$3+J21*'PAG20 FE GE'!$D$4</f>
        <v>0.21488316778523489</v>
      </c>
      <c r="O21" s="111">
        <f>H21*'PAG100 FE GE'!$C$2+'FE DEFRA A1. Fuel Eq'!I21*'PAG100 FE GE'!$C$3+J21*'PAG100 FE GE'!$C$4</f>
        <v>0.21448999999999999</v>
      </c>
      <c r="P21" s="112">
        <f>H21*'PAG20 FE GE'!$C$2+'FE DEFRA A1. Fuel Eq'!I21*'PAG20 FE GE'!$C$3+J21*'PAG20 FE GE'!$C$4</f>
        <v>0.21480567382550336</v>
      </c>
      <c r="Q21" t="s">
        <v>428</v>
      </c>
      <c r="R21">
        <v>2022</v>
      </c>
    </row>
    <row r="22" spans="1:18" x14ac:dyDescent="0.25">
      <c r="A22" s="110" t="s">
        <v>108</v>
      </c>
      <c r="B22" s="103" t="s">
        <v>109</v>
      </c>
      <c r="C22" s="127" t="s">
        <v>131</v>
      </c>
      <c r="D22" s="205" t="str">
        <f t="shared" si="0"/>
        <v>GN:tonnes :: DEFRA:2022</v>
      </c>
      <c r="E22" s="104">
        <v>2557.5300000000002</v>
      </c>
      <c r="F22" s="104">
        <v>3.8528000000000002</v>
      </c>
      <c r="G22" s="104">
        <v>1.1916107382550336</v>
      </c>
      <c r="H22" s="104">
        <f>E22/'PAG100 FE GE'!$D$2</f>
        <v>2557.5300000000002</v>
      </c>
      <c r="I22" s="104">
        <f>F22/'PAG100 FE GE'!$D$3</f>
        <v>0.1376</v>
      </c>
      <c r="J22" s="106">
        <f>G22/'PAG100 FE GE'!$D$4</f>
        <v>4.4966442953020139E-3</v>
      </c>
      <c r="K22" s="111">
        <f>H22*'PAG100 FE GE'!$E$2+'FE DEFRA A1. Fuel Eq'!I22*'PAG100 FE GE'!$E$3+J22*'PAG100 FE GE'!$E$4</f>
        <v>2562.5966238926176</v>
      </c>
      <c r="L22" s="111">
        <f>H22*'PAG20 FE GE'!$E$2+'FE DEFRA A1. Fuel Eq'!I22*'PAG20 FE GE'!$E$3+J22*'PAG20 FE GE'!$E$4</f>
        <v>2569.9307038926177</v>
      </c>
      <c r="M22" s="111">
        <f>H22*'PAG100 FE GE'!$D$2+'FE DEFRA A1. Fuel Eq'!I22*'PAG100 FE GE'!$D$3+J22*'PAG100 FE GE'!$D$4</f>
        <v>2562.5744107382552</v>
      </c>
      <c r="N22" s="111">
        <f>H22*'PAG20 FE GE'!$D$2+'FE DEFRA A1. Fuel Eq'!I22*'PAG20 FE GE'!$D$3+J22*'PAG20 FE GE'!$D$4</f>
        <v>2570.4131140939598</v>
      </c>
      <c r="O22" s="111">
        <f>H22*'PAG100 FE GE'!$C$2+'FE DEFRA A1. Fuel Eq'!I22*'PAG100 FE GE'!$C$3+J22*'PAG100 FE GE'!$C$4</f>
        <v>2562.3100000000004</v>
      </c>
      <c r="P22" s="112">
        <f>H22*'PAG20 FE GE'!$C$2+'FE DEFRA A1. Fuel Eq'!I22*'PAG20 FE GE'!$C$3+J22*'PAG20 FE GE'!$C$4</f>
        <v>2568.7367302013427</v>
      </c>
      <c r="Q22" t="s">
        <v>428</v>
      </c>
      <c r="R22">
        <v>2022</v>
      </c>
    </row>
    <row r="23" spans="1:18" x14ac:dyDescent="0.25">
      <c r="A23" s="110" t="s">
        <v>108</v>
      </c>
      <c r="B23" s="103" t="s">
        <v>109</v>
      </c>
      <c r="C23" s="127" t="s">
        <v>57</v>
      </c>
      <c r="D23" s="205" t="str">
        <f t="shared" si="0"/>
        <v>GN:kg :: DEFRA:2022</v>
      </c>
      <c r="E23" s="104">
        <f>E22/1000</f>
        <v>2.5575300000000003</v>
      </c>
      <c r="F23" s="104">
        <f t="shared" ref="F23" si="8">F22/1000</f>
        <v>3.8528000000000004E-3</v>
      </c>
      <c r="G23" s="104">
        <f t="shared" ref="G23" si="9">G22/1000</f>
        <v>1.1916107382550336E-3</v>
      </c>
      <c r="H23" s="104">
        <f>E23/'PAG100 FE GE'!$D$2</f>
        <v>2.5575300000000003</v>
      </c>
      <c r="I23" s="104">
        <f>F23/'PAG100 FE GE'!$D$3</f>
        <v>1.3760000000000001E-4</v>
      </c>
      <c r="J23" s="106">
        <f>G23/'PAG100 FE GE'!$D$4</f>
        <v>4.4966442953020135E-6</v>
      </c>
      <c r="K23" s="111">
        <f>H23*'PAG100 FE GE'!$E$2+'FE DEFRA A1. Fuel Eq'!I23*'PAG100 FE GE'!$E$3+J23*'PAG100 FE GE'!$E$4</f>
        <v>2.5625966238926177</v>
      </c>
      <c r="L23" s="111">
        <f>H23*'PAG20 FE GE'!$E$2+'FE DEFRA A1. Fuel Eq'!I23*'PAG20 FE GE'!$E$3+J23*'PAG20 FE GE'!$E$4</f>
        <v>2.5699307038926178</v>
      </c>
      <c r="M23" s="111">
        <f>H23*'PAG100 FE GE'!$D$2+'FE DEFRA A1. Fuel Eq'!I23*'PAG100 FE GE'!$D$3+J23*'PAG100 FE GE'!$D$4</f>
        <v>2.5625744107382555</v>
      </c>
      <c r="N23" s="111">
        <f>H23*'PAG20 FE GE'!$D$2+'FE DEFRA A1. Fuel Eq'!I23*'PAG20 FE GE'!$D$3+J23*'PAG20 FE GE'!$D$4</f>
        <v>2.5704131140939603</v>
      </c>
      <c r="O23" s="111">
        <f>H23*'PAG100 FE GE'!$C$2+'FE DEFRA A1. Fuel Eq'!I23*'PAG100 FE GE'!$C$3+J23*'PAG100 FE GE'!$C$4</f>
        <v>2.5623100000000001</v>
      </c>
      <c r="P23" s="112">
        <f>H23*'PAG20 FE GE'!$C$2+'FE DEFRA A1. Fuel Eq'!I23*'PAG20 FE GE'!$C$3+J23*'PAG20 FE GE'!$C$4</f>
        <v>2.5687367302013424</v>
      </c>
      <c r="Q23" t="s">
        <v>428</v>
      </c>
      <c r="R23">
        <v>2022</v>
      </c>
    </row>
    <row r="24" spans="1:18" x14ac:dyDescent="0.25">
      <c r="A24" s="110" t="s">
        <v>108</v>
      </c>
      <c r="B24" s="103" t="s">
        <v>109</v>
      </c>
      <c r="C24" s="127" t="s">
        <v>461</v>
      </c>
      <c r="D24" s="205" t="str">
        <f t="shared" si="0"/>
        <v>GN:m3 :: DEFRA:2022</v>
      </c>
      <c r="E24" s="104">
        <v>2.03437</v>
      </c>
      <c r="F24" s="104">
        <v>3.0688E-3</v>
      </c>
      <c r="G24" s="104">
        <v>9.5151006711409393E-4</v>
      </c>
      <c r="H24" s="104">
        <f>E24/'PAG100 FE GE'!$D$2</f>
        <v>2.03437</v>
      </c>
      <c r="I24" s="104">
        <f>F24/'PAG100 FE GE'!$D$3</f>
        <v>1.0959999999999999E-4</v>
      </c>
      <c r="J24" s="106">
        <f>G24/'PAG100 FE GE'!$D$4</f>
        <v>3.5906040268456374E-6</v>
      </c>
      <c r="K24" s="111">
        <f>H24*'PAG100 FE GE'!$E$2+'FE DEFRA A1. Fuel Eq'!I24*'PAG100 FE GE'!$E$3+J24*'PAG100 FE GE'!$E$4</f>
        <v>2.038408074899329</v>
      </c>
      <c r="L24" s="111">
        <f>H24*'PAG20 FE GE'!$E$2+'FE DEFRA A1. Fuel Eq'!I24*'PAG20 FE GE'!$E$3+J24*'PAG20 FE GE'!$E$4</f>
        <v>2.044249754899329</v>
      </c>
      <c r="M24" s="111">
        <f>H24*'PAG100 FE GE'!$D$2+'FE DEFRA A1. Fuel Eq'!I24*'PAG100 FE GE'!$D$3+J24*'PAG100 FE GE'!$D$4</f>
        <v>2.0383903100671139</v>
      </c>
      <c r="N24" s="111">
        <f>H24*'PAG20 FE GE'!$D$2+'FE DEFRA A1. Fuel Eq'!I24*'PAG20 FE GE'!$D$3+J24*'PAG20 FE GE'!$D$4</f>
        <v>2.0446339194630871</v>
      </c>
      <c r="O24" s="111">
        <f>H24*'PAG100 FE GE'!$C$2+'FE DEFRA A1. Fuel Eq'!I24*'PAG100 FE GE'!$C$3+J24*'PAG100 FE GE'!$C$4</f>
        <v>2.0381800000000001</v>
      </c>
      <c r="P24" s="112">
        <f>H24*'PAG20 FE GE'!$C$2+'FE DEFRA A1. Fuel Eq'!I24*'PAG20 FE GE'!$C$3+J24*'PAG20 FE GE'!$C$4</f>
        <v>2.0432988845637583</v>
      </c>
      <c r="Q24" t="s">
        <v>428</v>
      </c>
      <c r="R24">
        <v>2022</v>
      </c>
    </row>
    <row r="25" spans="1:18" x14ac:dyDescent="0.25">
      <c r="A25" s="110" t="s">
        <v>108</v>
      </c>
      <c r="B25" s="103" t="s">
        <v>109</v>
      </c>
      <c r="C25" s="127" t="s">
        <v>133</v>
      </c>
      <c r="D25" s="205" t="str">
        <f t="shared" si="0"/>
        <v>GN:kWh (Net CV) :: DEFRA:2022</v>
      </c>
      <c r="E25" s="104">
        <v>0.20226</v>
      </c>
      <c r="F25" s="104">
        <v>3.1359999999999998E-4</v>
      </c>
      <c r="G25" s="104">
        <v>9.7818791946308734E-5</v>
      </c>
      <c r="H25" s="104">
        <f>E25/'PAG100 FE GE'!$D$2</f>
        <v>0.20226</v>
      </c>
      <c r="I25" s="104">
        <f>F25/'PAG100 FE GE'!$D$3</f>
        <v>1.1199999999999999E-5</v>
      </c>
      <c r="J25" s="106">
        <f>G25/'PAG100 FE GE'!$D$4</f>
        <v>3.6912751677852351E-7</v>
      </c>
      <c r="K25" s="111">
        <f>H25*'PAG100 FE GE'!$E$2+'FE DEFRA A1. Fuel Eq'!I25*'PAG100 FE GE'!$E$3+J25*'PAG100 FE GE'!$E$4</f>
        <v>0.20267325181208054</v>
      </c>
      <c r="L25" s="111">
        <f>H25*'PAG20 FE GE'!$E$2+'FE DEFRA A1. Fuel Eq'!I25*'PAG20 FE GE'!$E$3+J25*'PAG20 FE GE'!$E$4</f>
        <v>0.20327021181208055</v>
      </c>
      <c r="M25" s="111">
        <f>H25*'PAG100 FE GE'!$D$2+'FE DEFRA A1. Fuel Eq'!I25*'PAG100 FE GE'!$D$3+J25*'PAG100 FE GE'!$D$4</f>
        <v>0.20267141879194631</v>
      </c>
      <c r="N25" s="111">
        <f>H25*'PAG20 FE GE'!$D$2+'FE DEFRA A1. Fuel Eq'!I25*'PAG20 FE GE'!$D$3+J25*'PAG20 FE GE'!$D$4</f>
        <v>0.20330944966442954</v>
      </c>
      <c r="O25" s="111">
        <f>H25*'PAG100 FE GE'!$C$2+'FE DEFRA A1. Fuel Eq'!I25*'PAG100 FE GE'!$C$3+J25*'PAG100 FE GE'!$C$4</f>
        <v>0.20265</v>
      </c>
      <c r="P25" s="112">
        <f>H25*'PAG20 FE GE'!$C$2+'FE DEFRA A1. Fuel Eq'!I25*'PAG20 FE GE'!$C$3+J25*'PAG20 FE GE'!$C$4</f>
        <v>0.203173077852349</v>
      </c>
      <c r="Q25" t="s">
        <v>428</v>
      </c>
      <c r="R25">
        <v>2022</v>
      </c>
    </row>
    <row r="26" spans="1:18" x14ac:dyDescent="0.25">
      <c r="A26" s="110" t="s">
        <v>108</v>
      </c>
      <c r="B26" s="103" t="s">
        <v>109</v>
      </c>
      <c r="C26" s="127" t="s">
        <v>134</v>
      </c>
      <c r="D26" s="205" t="str">
        <f t="shared" si="0"/>
        <v>GN:kWh (Gross CV) :: DEFRA:2022</v>
      </c>
      <c r="E26" s="104">
        <v>0.18256</v>
      </c>
      <c r="F26" s="104">
        <v>2.8000000000000003E-4</v>
      </c>
      <c r="G26" s="104">
        <v>8.8926174496644302E-5</v>
      </c>
      <c r="H26" s="104">
        <f>E26/'PAG100 FE GE'!$D$2</f>
        <v>0.18256</v>
      </c>
      <c r="I26" s="104">
        <f>F26/'PAG100 FE GE'!$D$3</f>
        <v>1.0000000000000001E-5</v>
      </c>
      <c r="J26" s="106">
        <f>G26/'PAG100 FE GE'!$D$4</f>
        <v>3.3557046979865772E-7</v>
      </c>
      <c r="K26" s="111">
        <f>H26*'PAG100 FE GE'!$E$2+'FE DEFRA A1. Fuel Eq'!I26*'PAG100 FE GE'!$E$3+J26*'PAG100 FE GE'!$E$4</f>
        <v>0.18293061073825503</v>
      </c>
      <c r="L26" s="111">
        <f>H26*'PAG20 FE GE'!$E$2+'FE DEFRA A1. Fuel Eq'!I26*'PAG20 FE GE'!$E$3+J26*'PAG20 FE GE'!$E$4</f>
        <v>0.18346361073825504</v>
      </c>
      <c r="M26" s="111">
        <f>H26*'PAG100 FE GE'!$D$2+'FE DEFRA A1. Fuel Eq'!I26*'PAG100 FE GE'!$D$3+J26*'PAG100 FE GE'!$D$4</f>
        <v>0.18292892617449666</v>
      </c>
      <c r="N26" s="111">
        <f>H26*'PAG20 FE GE'!$D$2+'FE DEFRA A1. Fuel Eq'!I26*'PAG20 FE GE'!$D$3+J26*'PAG20 FE GE'!$D$4</f>
        <v>0.18349859060402685</v>
      </c>
      <c r="O26" s="111">
        <f>H26*'PAG100 FE GE'!$C$2+'FE DEFRA A1. Fuel Eq'!I26*'PAG100 FE GE'!$C$3+J26*'PAG100 FE GE'!$C$4</f>
        <v>0.18290999999999999</v>
      </c>
      <c r="P26" s="112">
        <f>H26*'PAG20 FE GE'!$C$2+'FE DEFRA A1. Fuel Eq'!I26*'PAG20 FE GE'!$C$3+J26*'PAG20 FE GE'!$C$4</f>
        <v>0.18337697986577181</v>
      </c>
      <c r="Q26" t="s">
        <v>428</v>
      </c>
      <c r="R26">
        <v>2022</v>
      </c>
    </row>
    <row r="27" spans="1:18" x14ac:dyDescent="0.25">
      <c r="A27" s="110" t="s">
        <v>108</v>
      </c>
      <c r="B27" s="103" t="s">
        <v>232</v>
      </c>
      <c r="C27" s="127" t="s">
        <v>131</v>
      </c>
      <c r="D27" s="205" t="str">
        <f t="shared" si="0"/>
        <v>GN (100% fossil):tonnes :: DEFRA:2022</v>
      </c>
      <c r="E27" s="104">
        <v>2576.94</v>
      </c>
      <c r="F27" s="104">
        <v>3.8528000000000002</v>
      </c>
      <c r="G27" s="104">
        <v>1.1916107382550336</v>
      </c>
      <c r="H27" s="104">
        <f>E27/'PAG100 FE GE'!$D$2</f>
        <v>2576.94</v>
      </c>
      <c r="I27" s="104">
        <f>F27/'PAG100 FE GE'!$D$3</f>
        <v>0.1376</v>
      </c>
      <c r="J27" s="106">
        <f>G27/'PAG100 FE GE'!$D$4</f>
        <v>4.4966442953020139E-3</v>
      </c>
      <c r="K27" s="111">
        <f>H27*'PAG100 FE GE'!$E$2+'FE DEFRA A1. Fuel Eq'!I27*'PAG100 FE GE'!$E$3+J27*'PAG100 FE GE'!$E$4</f>
        <v>2582.0066238926174</v>
      </c>
      <c r="L27" s="111">
        <f>H27*'PAG20 FE GE'!$E$2+'FE DEFRA A1. Fuel Eq'!I27*'PAG20 FE GE'!$E$3+J27*'PAG20 FE GE'!$E$4</f>
        <v>2589.3407038926175</v>
      </c>
      <c r="M27" s="111">
        <f>H27*'PAG100 FE GE'!$D$2+'FE DEFRA A1. Fuel Eq'!I27*'PAG100 FE GE'!$D$3+J27*'PAG100 FE GE'!$D$4</f>
        <v>2581.9844107382551</v>
      </c>
      <c r="N27" s="111">
        <f>H27*'PAG20 FE GE'!$D$2+'FE DEFRA A1. Fuel Eq'!I27*'PAG20 FE GE'!$D$3+J27*'PAG20 FE GE'!$D$4</f>
        <v>2589.8231140939597</v>
      </c>
      <c r="O27" s="111">
        <f>H27*'PAG100 FE GE'!$C$2+'FE DEFRA A1. Fuel Eq'!I27*'PAG100 FE GE'!$C$3+J27*'PAG100 FE GE'!$C$4</f>
        <v>2581.7200000000003</v>
      </c>
      <c r="P27" s="112">
        <f>H27*'PAG20 FE GE'!$C$2+'FE DEFRA A1. Fuel Eq'!I27*'PAG20 FE GE'!$C$3+J27*'PAG20 FE GE'!$C$4</f>
        <v>2588.1467302013425</v>
      </c>
      <c r="Q27" t="s">
        <v>428</v>
      </c>
      <c r="R27">
        <v>2022</v>
      </c>
    </row>
    <row r="28" spans="1:18" x14ac:dyDescent="0.25">
      <c r="A28" s="110" t="s">
        <v>108</v>
      </c>
      <c r="B28" s="103" t="s">
        <v>232</v>
      </c>
      <c r="C28" s="127" t="s">
        <v>57</v>
      </c>
      <c r="D28" s="205" t="str">
        <f t="shared" si="0"/>
        <v>GN (100% fossil):kg :: DEFRA:2022</v>
      </c>
      <c r="E28" s="104">
        <f>E27/1000</f>
        <v>2.57694</v>
      </c>
      <c r="F28" s="104">
        <f t="shared" ref="F28" si="10">F27/1000</f>
        <v>3.8528000000000004E-3</v>
      </c>
      <c r="G28" s="104">
        <f t="shared" ref="G28" si="11">G27/1000</f>
        <v>1.1916107382550336E-3</v>
      </c>
      <c r="H28" s="104">
        <f>E28/'PAG100 FE GE'!$D$2</f>
        <v>2.57694</v>
      </c>
      <c r="I28" s="104">
        <f>F28/'PAG100 FE GE'!$D$3</f>
        <v>1.3760000000000001E-4</v>
      </c>
      <c r="J28" s="106">
        <f>G28/'PAG100 FE GE'!$D$4</f>
        <v>4.4966442953020135E-6</v>
      </c>
      <c r="K28" s="111">
        <f>H28*'PAG100 FE GE'!$E$2+'FE DEFRA A1. Fuel Eq'!I28*'PAG100 FE GE'!$E$3+J28*'PAG100 FE GE'!$E$4</f>
        <v>2.5820066238926174</v>
      </c>
      <c r="L28" s="111">
        <f>H28*'PAG20 FE GE'!$E$2+'FE DEFRA A1. Fuel Eq'!I28*'PAG20 FE GE'!$E$3+J28*'PAG20 FE GE'!$E$4</f>
        <v>2.5893407038926175</v>
      </c>
      <c r="M28" s="111">
        <f>H28*'PAG100 FE GE'!$D$2+'FE DEFRA A1. Fuel Eq'!I28*'PAG100 FE GE'!$D$3+J28*'PAG100 FE GE'!$D$4</f>
        <v>2.5819844107382552</v>
      </c>
      <c r="N28" s="111">
        <f>H28*'PAG20 FE GE'!$D$2+'FE DEFRA A1. Fuel Eq'!I28*'PAG20 FE GE'!$D$3+J28*'PAG20 FE GE'!$D$4</f>
        <v>2.58982311409396</v>
      </c>
      <c r="O28" s="111">
        <f>H28*'PAG100 FE GE'!$C$2+'FE DEFRA A1. Fuel Eq'!I28*'PAG100 FE GE'!$C$3+J28*'PAG100 FE GE'!$C$4</f>
        <v>2.5817199999999998</v>
      </c>
      <c r="P28" s="112">
        <f>H28*'PAG20 FE GE'!$C$2+'FE DEFRA A1. Fuel Eq'!I28*'PAG20 FE GE'!$C$3+J28*'PAG20 FE GE'!$C$4</f>
        <v>2.5881467302013421</v>
      </c>
      <c r="Q28" t="s">
        <v>428</v>
      </c>
      <c r="R28">
        <v>2022</v>
      </c>
    </row>
    <row r="29" spans="1:18" x14ac:dyDescent="0.25">
      <c r="A29" s="110" t="s">
        <v>108</v>
      </c>
      <c r="B29" s="103" t="s">
        <v>232</v>
      </c>
      <c r="C29" s="127" t="s">
        <v>461</v>
      </c>
      <c r="D29" s="205" t="str">
        <f t="shared" si="0"/>
        <v>GN (100% fossil):m3 :: DEFRA:2022</v>
      </c>
      <c r="E29" s="104">
        <v>2.0498099999999999</v>
      </c>
      <c r="F29" s="104">
        <v>3.0688E-3</v>
      </c>
      <c r="G29" s="104">
        <v>9.5151006711409393E-4</v>
      </c>
      <c r="H29" s="104">
        <f>E29/'PAG100 FE GE'!$D$2</f>
        <v>2.0498099999999999</v>
      </c>
      <c r="I29" s="104">
        <f>F29/'PAG100 FE GE'!$D$3</f>
        <v>1.0959999999999999E-4</v>
      </c>
      <c r="J29" s="106">
        <f>G29/'PAG100 FE GE'!$D$4</f>
        <v>3.5906040268456374E-6</v>
      </c>
      <c r="K29" s="111">
        <f>H29*'PAG100 FE GE'!$E$2+'FE DEFRA A1. Fuel Eq'!I29*'PAG100 FE GE'!$E$3+J29*'PAG100 FE GE'!$E$4</f>
        <v>2.0538480748993289</v>
      </c>
      <c r="L29" s="111">
        <f>H29*'PAG20 FE GE'!$E$2+'FE DEFRA A1. Fuel Eq'!I29*'PAG20 FE GE'!$E$3+J29*'PAG20 FE GE'!$E$4</f>
        <v>2.0596897548993289</v>
      </c>
      <c r="M29" s="111">
        <f>H29*'PAG100 FE GE'!$D$2+'FE DEFRA A1. Fuel Eq'!I29*'PAG100 FE GE'!$D$3+J29*'PAG100 FE GE'!$D$4</f>
        <v>2.0538303100671138</v>
      </c>
      <c r="N29" s="111">
        <f>H29*'PAG20 FE GE'!$D$2+'FE DEFRA A1. Fuel Eq'!I29*'PAG20 FE GE'!$D$3+J29*'PAG20 FE GE'!$D$4</f>
        <v>2.060073919463087</v>
      </c>
      <c r="O29" s="111">
        <f>H29*'PAG100 FE GE'!$C$2+'FE DEFRA A1. Fuel Eq'!I29*'PAG100 FE GE'!$C$3+J29*'PAG100 FE GE'!$C$4</f>
        <v>2.05362</v>
      </c>
      <c r="P29" s="112">
        <f>H29*'PAG20 FE GE'!$C$2+'FE DEFRA A1. Fuel Eq'!I29*'PAG20 FE GE'!$C$3+J29*'PAG20 FE GE'!$C$4</f>
        <v>2.0587388845637582</v>
      </c>
      <c r="Q29" t="s">
        <v>428</v>
      </c>
      <c r="R29">
        <v>2022</v>
      </c>
    </row>
    <row r="30" spans="1:18" x14ac:dyDescent="0.25">
      <c r="A30" s="110" t="s">
        <v>108</v>
      </c>
      <c r="B30" s="103" t="s">
        <v>232</v>
      </c>
      <c r="C30" s="127" t="s">
        <v>133</v>
      </c>
      <c r="D30" s="205" t="str">
        <f t="shared" si="0"/>
        <v>GN (100% fossil):kWh (Net CV) :: DEFRA:2022</v>
      </c>
      <c r="E30" s="104">
        <v>0.20379</v>
      </c>
      <c r="F30" s="104">
        <v>3.1359999999999998E-4</v>
      </c>
      <c r="G30" s="104">
        <v>9.7818791946308734E-5</v>
      </c>
      <c r="H30" s="104">
        <f>E30/'PAG100 FE GE'!$D$2</f>
        <v>0.20379</v>
      </c>
      <c r="I30" s="104">
        <f>F30/'PAG100 FE GE'!$D$3</f>
        <v>1.1199999999999999E-5</v>
      </c>
      <c r="J30" s="106">
        <f>G30/'PAG100 FE GE'!$D$4</f>
        <v>3.6912751677852351E-7</v>
      </c>
      <c r="K30" s="111">
        <f>H30*'PAG100 FE GE'!$E$2+'FE DEFRA A1. Fuel Eq'!I30*'PAG100 FE GE'!$E$3+J30*'PAG100 FE GE'!$E$4</f>
        <v>0.20420325181208054</v>
      </c>
      <c r="L30" s="111">
        <f>H30*'PAG20 FE GE'!$E$2+'FE DEFRA A1. Fuel Eq'!I30*'PAG20 FE GE'!$E$3+J30*'PAG20 FE GE'!$E$4</f>
        <v>0.20480021181208055</v>
      </c>
      <c r="M30" s="111">
        <f>H30*'PAG100 FE GE'!$D$2+'FE DEFRA A1. Fuel Eq'!I30*'PAG100 FE GE'!$D$3+J30*'PAG100 FE GE'!$D$4</f>
        <v>0.20420141879194631</v>
      </c>
      <c r="N30" s="111">
        <f>H30*'PAG20 FE GE'!$D$2+'FE DEFRA A1. Fuel Eq'!I30*'PAG20 FE GE'!$D$3+J30*'PAG20 FE GE'!$D$4</f>
        <v>0.20483944966442955</v>
      </c>
      <c r="O30" s="111">
        <f>H30*'PAG100 FE GE'!$C$2+'FE DEFRA A1. Fuel Eq'!I30*'PAG100 FE GE'!$C$3+J30*'PAG100 FE GE'!$C$4</f>
        <v>0.20418</v>
      </c>
      <c r="P30" s="112">
        <f>H30*'PAG20 FE GE'!$C$2+'FE DEFRA A1. Fuel Eq'!I30*'PAG20 FE GE'!$C$3+J30*'PAG20 FE GE'!$C$4</f>
        <v>0.20470307785234901</v>
      </c>
      <c r="Q30" t="s">
        <v>428</v>
      </c>
      <c r="R30">
        <v>2022</v>
      </c>
    </row>
    <row r="31" spans="1:18" x14ac:dyDescent="0.25">
      <c r="A31" s="110" t="s">
        <v>108</v>
      </c>
      <c r="B31" s="103" t="s">
        <v>232</v>
      </c>
      <c r="C31" s="127" t="s">
        <v>134</v>
      </c>
      <c r="D31" s="205" t="str">
        <f t="shared" si="0"/>
        <v>GN (100% fossil):kWh (Gross CV) :: DEFRA:2022</v>
      </c>
      <c r="E31" s="104">
        <v>0.18395</v>
      </c>
      <c r="F31" s="104">
        <v>2.8000000000000003E-4</v>
      </c>
      <c r="G31" s="104">
        <v>8.8926174496644302E-5</v>
      </c>
      <c r="H31" s="104">
        <f>E31/'PAG100 FE GE'!$D$2</f>
        <v>0.18395</v>
      </c>
      <c r="I31" s="104">
        <f>F31/'PAG100 FE GE'!$D$3</f>
        <v>1.0000000000000001E-5</v>
      </c>
      <c r="J31" s="106">
        <f>G31/'PAG100 FE GE'!$D$4</f>
        <v>3.3557046979865772E-7</v>
      </c>
      <c r="K31" s="111">
        <f>H31*'PAG100 FE GE'!$E$2+'FE DEFRA A1. Fuel Eq'!I31*'PAG100 FE GE'!$E$3+J31*'PAG100 FE GE'!$E$4</f>
        <v>0.18432061073825504</v>
      </c>
      <c r="L31" s="111">
        <f>H31*'PAG20 FE GE'!$E$2+'FE DEFRA A1. Fuel Eq'!I31*'PAG20 FE GE'!$E$3+J31*'PAG20 FE GE'!$E$4</f>
        <v>0.18485361073825504</v>
      </c>
      <c r="M31" s="111">
        <f>H31*'PAG100 FE GE'!$D$2+'FE DEFRA A1. Fuel Eq'!I31*'PAG100 FE GE'!$D$3+J31*'PAG100 FE GE'!$D$4</f>
        <v>0.18431892617449666</v>
      </c>
      <c r="N31" s="111">
        <f>H31*'PAG20 FE GE'!$D$2+'FE DEFRA A1. Fuel Eq'!I31*'PAG20 FE GE'!$D$3+J31*'PAG20 FE GE'!$D$4</f>
        <v>0.18488859060402685</v>
      </c>
      <c r="O31" s="111">
        <f>H31*'PAG100 FE GE'!$C$2+'FE DEFRA A1. Fuel Eq'!I31*'PAG100 FE GE'!$C$3+J31*'PAG100 FE GE'!$C$4</f>
        <v>0.18429999999999999</v>
      </c>
      <c r="P31" s="112">
        <f>H31*'PAG20 FE GE'!$C$2+'FE DEFRA A1. Fuel Eq'!I31*'PAG20 FE GE'!$C$3+J31*'PAG20 FE GE'!$C$4</f>
        <v>0.18476697986577181</v>
      </c>
      <c r="Q31" t="s">
        <v>428</v>
      </c>
      <c r="R31">
        <v>2022</v>
      </c>
    </row>
    <row r="32" spans="1:18" x14ac:dyDescent="0.25">
      <c r="A32" s="110" t="s">
        <v>108</v>
      </c>
      <c r="B32" s="103" t="s">
        <v>233</v>
      </c>
      <c r="C32" s="127" t="s">
        <v>131</v>
      </c>
      <c r="D32" s="205" t="str">
        <f t="shared" si="0"/>
        <v>Propano:tonnes :: DEFRA:2022</v>
      </c>
      <c r="E32" s="104">
        <v>2993.4</v>
      </c>
      <c r="F32" s="104">
        <v>2.5872000000000002</v>
      </c>
      <c r="G32" s="104">
        <v>1.6451342281879195</v>
      </c>
      <c r="H32" s="104">
        <f>E32/'PAG100 FE GE'!$D$2</f>
        <v>2993.4</v>
      </c>
      <c r="I32" s="104">
        <f>F32/'PAG100 FE GE'!$D$3</f>
        <v>9.240000000000001E-2</v>
      </c>
      <c r="J32" s="106">
        <f>G32/'PAG100 FE GE'!$D$4</f>
        <v>6.208053691275168E-3</v>
      </c>
      <c r="K32" s="111">
        <f>H32*'PAG100 FE GE'!$E$2+'FE DEFRA A1. Fuel Eq'!I32*'PAG100 FE GE'!$E$3+J32*'PAG100 FE GE'!$E$4</f>
        <v>2997.6727586577181</v>
      </c>
      <c r="L32" s="111">
        <f>H32*'PAG20 FE GE'!$E$2+'FE DEFRA A1. Fuel Eq'!I32*'PAG20 FE GE'!$E$3+J32*'PAG20 FE GE'!$E$4</f>
        <v>3002.597678657718</v>
      </c>
      <c r="M32" s="111">
        <f>H32*'PAG100 FE GE'!$D$2+'FE DEFRA A1. Fuel Eq'!I32*'PAG100 FE GE'!$D$3+J32*'PAG100 FE GE'!$D$4</f>
        <v>2997.632334228188</v>
      </c>
      <c r="N32" s="111">
        <f>H32*'PAG20 FE GE'!$D$2+'FE DEFRA A1. Fuel Eq'!I32*'PAG20 FE GE'!$D$3+J32*'PAG20 FE GE'!$D$4</f>
        <v>3002.8929261744966</v>
      </c>
      <c r="O32" s="111">
        <f>H32*'PAG100 FE GE'!$C$2+'FE DEFRA A1. Fuel Eq'!I32*'PAG100 FE GE'!$C$3+J32*'PAG100 FE GE'!$C$4</f>
        <v>2997.56</v>
      </c>
      <c r="P32" s="112">
        <f>H32*'PAG20 FE GE'!$C$2+'FE DEFRA A1. Fuel Eq'!I32*'PAG20 FE GE'!$C$3+J32*'PAG20 FE GE'!$C$4</f>
        <v>3001.8469275167786</v>
      </c>
      <c r="Q32" t="s">
        <v>428</v>
      </c>
      <c r="R32">
        <v>2022</v>
      </c>
    </row>
    <row r="33" spans="1:18" x14ac:dyDescent="0.25">
      <c r="A33" s="110" t="s">
        <v>108</v>
      </c>
      <c r="B33" s="103" t="s">
        <v>233</v>
      </c>
      <c r="C33" s="127" t="s">
        <v>57</v>
      </c>
      <c r="D33" s="205" t="str">
        <f t="shared" si="0"/>
        <v>Propano:kg :: DEFRA:2022</v>
      </c>
      <c r="E33" s="104">
        <f>E32/1000</f>
        <v>2.9934000000000003</v>
      </c>
      <c r="F33" s="104">
        <f t="shared" ref="F33" si="12">F32/1000</f>
        <v>2.5872E-3</v>
      </c>
      <c r="G33" s="104">
        <f t="shared" ref="G33" si="13">G32/1000</f>
        <v>1.6451342281879197E-3</v>
      </c>
      <c r="H33" s="104">
        <f>E33/'PAG100 FE GE'!$D$2</f>
        <v>2.9934000000000003</v>
      </c>
      <c r="I33" s="104">
        <f>F33/'PAG100 FE GE'!$D$3</f>
        <v>9.2399999999999996E-5</v>
      </c>
      <c r="J33" s="106">
        <f>G33/'PAG100 FE GE'!$D$4</f>
        <v>6.2080536912751686E-6</v>
      </c>
      <c r="K33" s="111">
        <f>H33*'PAG100 FE GE'!$E$2+'FE DEFRA A1. Fuel Eq'!I33*'PAG100 FE GE'!$E$3+J33*'PAG100 FE GE'!$E$4</f>
        <v>2.9976727586577185</v>
      </c>
      <c r="L33" s="111">
        <f>H33*'PAG20 FE GE'!$E$2+'FE DEFRA A1. Fuel Eq'!I33*'PAG20 FE GE'!$E$3+J33*'PAG20 FE GE'!$E$4</f>
        <v>3.0025976786577186</v>
      </c>
      <c r="M33" s="111">
        <f>H33*'PAG100 FE GE'!$D$2+I33*'PAG100 FE GE'!$D$3+J33*'PAG100 FE GE'!$D$4</f>
        <v>2.9976323342281881</v>
      </c>
      <c r="N33" s="111">
        <f>H33*'PAG20 FE GE'!$D$2+'FE DEFRA A1. Fuel Eq'!I33*'PAG20 FE GE'!$D$3+J33*'PAG20 FE GE'!$D$4</f>
        <v>3.0028929261744968</v>
      </c>
      <c r="O33" s="111">
        <f>H33*'PAG100 FE GE'!$C$2+'FE DEFRA A1. Fuel Eq'!I33*'PAG100 FE GE'!$C$3+J33*'PAG100 FE GE'!$C$4</f>
        <v>2.9975600000000004</v>
      </c>
      <c r="P33" s="112">
        <f>H33*'PAG20 FE GE'!$C$2+'FE DEFRA A1. Fuel Eq'!I33*'PAG20 FE GE'!$C$3+J33*'PAG20 FE GE'!$C$4</f>
        <v>3.0018469275167785</v>
      </c>
      <c r="Q33" t="s">
        <v>428</v>
      </c>
      <c r="R33">
        <v>2022</v>
      </c>
    </row>
    <row r="34" spans="1:18" x14ac:dyDescent="0.25">
      <c r="A34" s="110" t="s">
        <v>108</v>
      </c>
      <c r="B34" s="103" t="s">
        <v>233</v>
      </c>
      <c r="C34" s="127" t="s">
        <v>55</v>
      </c>
      <c r="D34" s="205" t="str">
        <f t="shared" si="0"/>
        <v>Propano:l :: DEFRA:2022</v>
      </c>
      <c r="E34" s="104">
        <v>1.5414000000000001</v>
      </c>
      <c r="F34" s="104">
        <v>1.3328000000000003E-3</v>
      </c>
      <c r="G34" s="104">
        <v>8.4479865771812076E-4</v>
      </c>
      <c r="H34" s="104">
        <f>E34/'PAG100 FE GE'!$D$2</f>
        <v>1.5414000000000001</v>
      </c>
      <c r="I34" s="104">
        <f>F34/'PAG100 FE GE'!$D$3</f>
        <v>4.7600000000000012E-5</v>
      </c>
      <c r="J34" s="106">
        <f>G34/'PAG100 FE GE'!$D$4</f>
        <v>3.1879194630872482E-6</v>
      </c>
      <c r="K34" s="111">
        <f>H34*'PAG100 FE GE'!$E$2+'FE DEFRA A1. Fuel Eq'!I34*'PAG100 FE GE'!$E$3+J34*'PAG100 FE GE'!$E$4</f>
        <v>1.5435983420134229</v>
      </c>
      <c r="L34" s="111">
        <f>H34*'PAG20 FE GE'!$E$2+'FE DEFRA A1. Fuel Eq'!I34*'PAG20 FE GE'!$E$3+J34*'PAG20 FE GE'!$E$4</f>
        <v>1.5461354220134229</v>
      </c>
      <c r="M34" s="111">
        <f>H34*'PAG100 FE GE'!$D$2+'FE DEFRA A1. Fuel Eq'!I34*'PAG100 FE GE'!$D$3+J34*'PAG100 FE GE'!$D$4</f>
        <v>1.543577598657718</v>
      </c>
      <c r="N34" s="111">
        <f>H34*'PAG20 FE GE'!$D$2+'FE DEFRA A1. Fuel Eq'!I34*'PAG20 FE GE'!$D$3+J34*'PAG20 FE GE'!$D$4</f>
        <v>1.546287610738255</v>
      </c>
      <c r="O34" s="111">
        <f>H34*'PAG100 FE GE'!$C$2+'FE DEFRA A1. Fuel Eq'!I34*'PAG100 FE GE'!$C$3+J34*'PAG100 FE GE'!$C$4</f>
        <v>1.5435400000000001</v>
      </c>
      <c r="P34" s="112">
        <f>H34*'PAG20 FE GE'!$C$2+'FE DEFRA A1. Fuel Eq'!I34*'PAG20 FE GE'!$C$3+J34*'PAG20 FE GE'!$C$4</f>
        <v>1.5457485087248324</v>
      </c>
      <c r="Q34" t="s">
        <v>428</v>
      </c>
      <c r="R34">
        <v>2022</v>
      </c>
    </row>
    <row r="35" spans="1:18" x14ac:dyDescent="0.25">
      <c r="A35" s="110" t="s">
        <v>108</v>
      </c>
      <c r="B35" s="103" t="s">
        <v>233</v>
      </c>
      <c r="C35" s="127" t="s">
        <v>133</v>
      </c>
      <c r="D35" s="205" t="str">
        <f t="shared" si="0"/>
        <v>Propano:kWh (Net CV) :: DEFRA:2022</v>
      </c>
      <c r="E35" s="104">
        <v>0.23225000000000001</v>
      </c>
      <c r="F35" s="104">
        <v>2.0160000000000002E-4</v>
      </c>
      <c r="G35" s="104">
        <v>1.2449664429530201E-4</v>
      </c>
      <c r="H35" s="104">
        <f>E35/'PAG100 FE GE'!$D$2</f>
        <v>0.23225000000000001</v>
      </c>
      <c r="I35" s="104">
        <f>F35/'PAG100 FE GE'!$D$3</f>
        <v>7.2000000000000005E-6</v>
      </c>
      <c r="J35" s="106">
        <f>G35/'PAG100 FE GE'!$D$4</f>
        <v>4.6979865771812082E-7</v>
      </c>
      <c r="K35" s="111">
        <f>H35*'PAG100 FE GE'!$E$2+'FE DEFRA A1. Fuel Eq'!I35*'PAG100 FE GE'!$E$3+J35*'PAG100 FE GE'!$E$4</f>
        <v>0.23257913503355704</v>
      </c>
      <c r="L35" s="111">
        <f>H35*'PAG20 FE GE'!$E$2+'FE DEFRA A1. Fuel Eq'!I35*'PAG20 FE GE'!$E$3+J35*'PAG20 FE GE'!$E$4</f>
        <v>0.23296289503355705</v>
      </c>
      <c r="M35" s="111">
        <f>H35*'PAG100 FE GE'!$D$2+'FE DEFRA A1. Fuel Eq'!I35*'PAG100 FE GE'!$D$3+J35*'PAG100 FE GE'!$D$4</f>
        <v>0.23257609664429532</v>
      </c>
      <c r="N35" s="111">
        <f>H35*'PAG20 FE GE'!$D$2+'FE DEFRA A1. Fuel Eq'!I35*'PAG20 FE GE'!$D$3+J35*'PAG20 FE GE'!$D$4</f>
        <v>0.2329860268456376</v>
      </c>
      <c r="O35" s="111">
        <f>H35*'PAG100 FE GE'!$C$2+'FE DEFRA A1. Fuel Eq'!I35*'PAG100 FE GE'!$C$3+J35*'PAG100 FE GE'!$C$4</f>
        <v>0.23257000000000003</v>
      </c>
      <c r="P35" s="112">
        <f>H35*'PAG20 FE GE'!$C$2+'FE DEFRA A1. Fuel Eq'!I35*'PAG20 FE GE'!$C$3+J35*'PAG20 FE GE'!$C$4</f>
        <v>0.23290417181208056</v>
      </c>
      <c r="Q35" t="s">
        <v>428</v>
      </c>
      <c r="R35">
        <v>2022</v>
      </c>
    </row>
    <row r="36" spans="1:18" x14ac:dyDescent="0.25">
      <c r="A36" s="110" t="s">
        <v>108</v>
      </c>
      <c r="B36" s="103" t="s">
        <v>233</v>
      </c>
      <c r="C36" s="127" t="s">
        <v>134</v>
      </c>
      <c r="D36" s="205" t="str">
        <f t="shared" si="0"/>
        <v>Propano:kWh (Gross CV) :: DEFRA:2022</v>
      </c>
      <c r="E36" s="104">
        <v>0.21381</v>
      </c>
      <c r="F36" s="104">
        <v>1.7920000000000002E-4</v>
      </c>
      <c r="G36" s="104">
        <v>1.1560402684563757E-4</v>
      </c>
      <c r="H36" s="104">
        <f>E36/'PAG100 FE GE'!$D$2</f>
        <v>0.21381</v>
      </c>
      <c r="I36" s="104">
        <f>F36/'PAG100 FE GE'!$D$3</f>
        <v>6.4000000000000006E-6</v>
      </c>
      <c r="J36" s="106">
        <f>G36/'PAG100 FE GE'!$D$4</f>
        <v>4.3624161073825498E-7</v>
      </c>
      <c r="K36" s="111">
        <f>H36*'PAG100 FE GE'!$E$2+'FE DEFRA A1. Fuel Eq'!I36*'PAG100 FE GE'!$E$3+J36*'PAG100 FE GE'!$E$4</f>
        <v>0.21410765395973153</v>
      </c>
      <c r="L36" s="111">
        <f>H36*'PAG20 FE GE'!$E$2+'FE DEFRA A1. Fuel Eq'!I36*'PAG20 FE GE'!$E$3+J36*'PAG20 FE GE'!$E$4</f>
        <v>0.21444877395973153</v>
      </c>
      <c r="M36" s="111">
        <f>H36*'PAG100 FE GE'!$D$2+'FE DEFRA A1. Fuel Eq'!I36*'PAG100 FE GE'!$D$3+J36*'PAG100 FE GE'!$D$4</f>
        <v>0.21410480402684562</v>
      </c>
      <c r="N36" s="111">
        <f>H36*'PAG20 FE GE'!$D$2+'FE DEFRA A1. Fuel Eq'!I36*'PAG20 FE GE'!$D$3+J36*'PAG20 FE GE'!$D$4</f>
        <v>0.21446916778523489</v>
      </c>
      <c r="O36" s="111">
        <f>H36*'PAG100 FE GE'!$C$2+'FE DEFRA A1. Fuel Eq'!I36*'PAG100 FE GE'!$C$3+J36*'PAG100 FE GE'!$C$4</f>
        <v>0.21409999999999998</v>
      </c>
      <c r="P36" s="112">
        <f>H36*'PAG20 FE GE'!$C$2+'FE DEFRA A1. Fuel Eq'!I36*'PAG20 FE GE'!$C$3+J36*'PAG20 FE GE'!$C$4</f>
        <v>0.21439687382550338</v>
      </c>
      <c r="Q36" t="s">
        <v>428</v>
      </c>
      <c r="R36">
        <v>2022</v>
      </c>
    </row>
    <row r="37" spans="1:18" x14ac:dyDescent="0.25">
      <c r="A37" s="110" t="s">
        <v>119</v>
      </c>
      <c r="B37" s="105" t="s">
        <v>3</v>
      </c>
      <c r="C37" s="127" t="s">
        <v>131</v>
      </c>
      <c r="D37" s="205" t="str">
        <f t="shared" si="0"/>
        <v>Gasóleo:tonnes :: DEFRA:2022</v>
      </c>
      <c r="E37" s="104">
        <v>2976.42</v>
      </c>
      <c r="F37" s="104">
        <v>0.34720000000000001</v>
      </c>
      <c r="G37" s="104">
        <v>38.887416107382549</v>
      </c>
      <c r="H37" s="104">
        <f>E37/'PAG100 FE GE'!$D$2</f>
        <v>2976.42</v>
      </c>
      <c r="I37" s="104">
        <f>F37/'PAG100 FE GE'!$D$3</f>
        <v>1.24E-2</v>
      </c>
      <c r="J37" s="106">
        <f>G37/'PAG100 FE GE'!$D$4</f>
        <v>0.14674496644295301</v>
      </c>
      <c r="K37" s="111">
        <f>H37*'PAG100 FE GE'!$E$2+'FE DEFRA A1. Fuel Eq'!I37*'PAG100 FE GE'!$E$3+J37*'PAG100 FE GE'!$E$4</f>
        <v>3016.8273358389265</v>
      </c>
      <c r="L37" s="111">
        <f>H37*'PAG20 FE GE'!$E$2+'FE DEFRA A1. Fuel Eq'!I37*'PAG20 FE GE'!$E$3+J37*'PAG20 FE GE'!$E$4</f>
        <v>3017.4882558389263</v>
      </c>
      <c r="M37" s="111">
        <f>H37*'PAG100 FE GE'!$D$2+'FE DEFRA A1. Fuel Eq'!I37*'PAG100 FE GE'!$D$3+J37*'PAG100 FE GE'!$D$4</f>
        <v>3015.6546161073829</v>
      </c>
      <c r="N37" s="111">
        <f>H37*'PAG20 FE GE'!$D$2+'FE DEFRA A1. Fuel Eq'!I37*'PAG20 FE GE'!$D$3+J37*'PAG20 FE GE'!$D$4</f>
        <v>3016.2146711409396</v>
      </c>
      <c r="O37" s="111">
        <f>H37*'PAG100 FE GE'!$C$2+'FE DEFRA A1. Fuel Eq'!I37*'PAG100 FE GE'!$C$3+J37*'PAG100 FE GE'!$C$4</f>
        <v>3020.46</v>
      </c>
      <c r="P37" s="112">
        <f>H37*'PAG20 FE GE'!$C$2+'FE DEFRA A1. Fuel Eq'!I37*'PAG20 FE GE'!$C$3+J37*'PAG20 FE GE'!$C$4</f>
        <v>3019.7220953020137</v>
      </c>
      <c r="Q37" t="s">
        <v>428</v>
      </c>
      <c r="R37">
        <v>2022</v>
      </c>
    </row>
    <row r="38" spans="1:18" x14ac:dyDescent="0.25">
      <c r="A38" s="110" t="s">
        <v>119</v>
      </c>
      <c r="B38" s="105" t="s">
        <v>3</v>
      </c>
      <c r="C38" s="127" t="s">
        <v>57</v>
      </c>
      <c r="D38" s="205" t="str">
        <f t="shared" si="0"/>
        <v>Gasóleo:kg :: DEFRA:2022</v>
      </c>
      <c r="E38" s="104">
        <f>E37/1000</f>
        <v>2.9764200000000001</v>
      </c>
      <c r="F38" s="104">
        <f t="shared" ref="F38" si="14">F37/1000</f>
        <v>3.4719999999999998E-4</v>
      </c>
      <c r="G38" s="104">
        <f t="shared" ref="G38" si="15">G37/1000</f>
        <v>3.8887416107382548E-2</v>
      </c>
      <c r="H38" s="104">
        <f>E38/'PAG100 FE GE'!$D$2</f>
        <v>2.9764200000000001</v>
      </c>
      <c r="I38" s="104">
        <f>F38/'PAG100 FE GE'!$D$3</f>
        <v>1.24E-5</v>
      </c>
      <c r="J38" s="106">
        <f>G38/'PAG100 FE GE'!$D$4</f>
        <v>1.4674496644295301E-4</v>
      </c>
      <c r="K38" s="111">
        <f>H38*'PAG100 FE GE'!$E$2+'FE DEFRA A1. Fuel Eq'!I38*'PAG100 FE GE'!$E$3+J38*'PAG100 FE GE'!$E$4</f>
        <v>3.0168273358389266</v>
      </c>
      <c r="L38" s="111">
        <f>H38*'PAG20 FE GE'!$E$2+'FE DEFRA A1. Fuel Eq'!I38*'PAG20 FE GE'!$E$3+J38*'PAG20 FE GE'!$E$4</f>
        <v>3.0174882558389262</v>
      </c>
      <c r="M38" s="111">
        <f>H38*'PAG100 FE GE'!$D$2+'FE DEFRA A1. Fuel Eq'!I38*'PAG100 FE GE'!$D$3+J38*'PAG100 FE GE'!$D$4</f>
        <v>3.0156546161073829</v>
      </c>
      <c r="N38" s="111">
        <f>H38*'PAG20 FE GE'!$D$2+'FE DEFRA A1. Fuel Eq'!I38*'PAG20 FE GE'!$D$3+J38*'PAG20 FE GE'!$D$4</f>
        <v>3.0162146711409394</v>
      </c>
      <c r="O38" s="111">
        <f>H38*'PAG100 FE GE'!$C$2+'FE DEFRA A1. Fuel Eq'!I38*'PAG100 FE GE'!$C$3+J38*'PAG100 FE GE'!$C$4</f>
        <v>3.0204599999999999</v>
      </c>
      <c r="P38" s="112">
        <f>H38*'PAG20 FE GE'!$C$2+'FE DEFRA A1. Fuel Eq'!I38*'PAG20 FE GE'!$C$3+J38*'PAG20 FE GE'!$C$4</f>
        <v>3.0197220953020132</v>
      </c>
      <c r="Q38" t="s">
        <v>428</v>
      </c>
      <c r="R38">
        <v>2022</v>
      </c>
    </row>
    <row r="39" spans="1:18" x14ac:dyDescent="0.25">
      <c r="A39" s="110" t="s">
        <v>119</v>
      </c>
      <c r="B39" s="105" t="s">
        <v>3</v>
      </c>
      <c r="C39" s="127" t="s">
        <v>55</v>
      </c>
      <c r="D39" s="205" t="str">
        <f t="shared" si="0"/>
        <v>Gasóleo:l :: DEFRA:2022</v>
      </c>
      <c r="E39" s="104">
        <v>2.4788700000000001</v>
      </c>
      <c r="F39" s="104">
        <v>2.9119999999999998E-4</v>
      </c>
      <c r="G39" s="104">
        <v>3.2902684563758389E-2</v>
      </c>
      <c r="H39" s="104">
        <f>E39/'PAG100 FE GE'!$D$2</f>
        <v>2.4788700000000001</v>
      </c>
      <c r="I39" s="104">
        <f>F39/'PAG100 FE GE'!$D$3</f>
        <v>1.0399999999999999E-5</v>
      </c>
      <c r="J39" s="106">
        <f>G39/'PAG100 FE GE'!$D$4</f>
        <v>1.2416107382550335E-4</v>
      </c>
      <c r="K39" s="111">
        <f>H39*'PAG100 FE GE'!$E$2+'FE DEFRA A1. Fuel Eq'!I39*'PAG100 FE GE'!$E$3+J39*'PAG100 FE GE'!$E$4</f>
        <v>2.5130561331543624</v>
      </c>
      <c r="L39" s="111">
        <f>H39*'PAG20 FE GE'!$E$2+'FE DEFRA A1. Fuel Eq'!I39*'PAG20 FE GE'!$E$3+J39*'PAG20 FE GE'!$E$4</f>
        <v>2.5136104531543624</v>
      </c>
      <c r="M39" s="111">
        <f>H39*'PAG100 FE GE'!$D$2+'FE DEFRA A1. Fuel Eq'!I39*'PAG100 FE GE'!$D$3+J39*'PAG100 FE GE'!$D$4</f>
        <v>2.5120638845637586</v>
      </c>
      <c r="N39" s="111">
        <f>H39*'PAG20 FE GE'!$D$2+'FE DEFRA A1. Fuel Eq'!I39*'PAG20 FE GE'!$D$3+J39*'PAG20 FE GE'!$D$4</f>
        <v>2.5125325234899329</v>
      </c>
      <c r="O39" s="111">
        <f>H39*'PAG100 FE GE'!$C$2+'FE DEFRA A1. Fuel Eq'!I39*'PAG100 FE GE'!$C$3+J39*'PAG100 FE GE'!$C$4</f>
        <v>2.51613</v>
      </c>
      <c r="P39" s="112">
        <f>H39*'PAG20 FE GE'!$C$2+'FE DEFRA A1. Fuel Eq'!I39*'PAG20 FE GE'!$C$3+J39*'PAG20 FE GE'!$C$4</f>
        <v>2.5155013503355708</v>
      </c>
      <c r="Q39" t="s">
        <v>428</v>
      </c>
      <c r="R39">
        <v>2022</v>
      </c>
    </row>
    <row r="40" spans="1:18" x14ac:dyDescent="0.25">
      <c r="A40" s="110" t="s">
        <v>119</v>
      </c>
      <c r="B40" s="105" t="s">
        <v>3</v>
      </c>
      <c r="C40" s="127" t="s">
        <v>133</v>
      </c>
      <c r="D40" s="205" t="str">
        <f t="shared" si="0"/>
        <v>Gasóleo:kWh (Net CV) :: DEFRA:2022</v>
      </c>
      <c r="E40" s="104">
        <v>0.25075999999999998</v>
      </c>
      <c r="F40" s="104">
        <v>3.3600000000000004E-5</v>
      </c>
      <c r="G40" s="104">
        <v>3.2991610738255035E-3</v>
      </c>
      <c r="H40" s="104">
        <f>E40/'PAG100 FE GE'!$D$2</f>
        <v>0.25075999999999998</v>
      </c>
      <c r="I40" s="104">
        <f>F40/'PAG100 FE GE'!$D$3</f>
        <v>1.2000000000000002E-6</v>
      </c>
      <c r="J40" s="106">
        <f>G40/'PAG100 FE GE'!$D$4</f>
        <v>1.2449664429530203E-5</v>
      </c>
      <c r="K40" s="111">
        <f>H40*'PAG100 FE GE'!$E$2+'FE DEFRA A1. Fuel Eq'!I40*'PAG100 FE GE'!$E$3+J40*'PAG100 FE GE'!$E$4</f>
        <v>0.25419223838926169</v>
      </c>
      <c r="L40" s="111">
        <f>H40*'PAG20 FE GE'!$E$2+'FE DEFRA A1. Fuel Eq'!I40*'PAG20 FE GE'!$E$3+J40*'PAG20 FE GE'!$E$4</f>
        <v>0.25425619838926172</v>
      </c>
      <c r="M40" s="111">
        <f>H40*'PAG100 FE GE'!$D$2+'FE DEFRA A1. Fuel Eq'!I40*'PAG100 FE GE'!$D$3+J40*'PAG100 FE GE'!$D$4</f>
        <v>0.2540927610738255</v>
      </c>
      <c r="N40" s="111">
        <f>H40*'PAG20 FE GE'!$D$2+'FE DEFRA A1. Fuel Eq'!I40*'PAG20 FE GE'!$D$3+J40*'PAG20 FE GE'!$D$4</f>
        <v>0.25414871140939593</v>
      </c>
      <c r="O40" s="111">
        <f>H40*'PAG100 FE GE'!$C$2+'FE DEFRA A1. Fuel Eq'!I40*'PAG100 FE GE'!$C$3+J40*'PAG100 FE GE'!$C$4</f>
        <v>0.25449999999999995</v>
      </c>
      <c r="P40" s="112">
        <f>H40*'PAG20 FE GE'!$C$2+'FE DEFRA A1. Fuel Eq'!I40*'PAG20 FE GE'!$C$3+J40*'PAG20 FE GE'!$C$4</f>
        <v>0.25444435302013418</v>
      </c>
      <c r="Q40" t="s">
        <v>428</v>
      </c>
      <c r="R40">
        <v>2022</v>
      </c>
    </row>
    <row r="41" spans="1:18" x14ac:dyDescent="0.25">
      <c r="A41" s="110" t="s">
        <v>119</v>
      </c>
      <c r="B41" s="105" t="s">
        <v>3</v>
      </c>
      <c r="C41" s="127" t="s">
        <v>134</v>
      </c>
      <c r="D41" s="205" t="str">
        <f t="shared" si="0"/>
        <v>Gasóleo:kWh (Gross CV) :: DEFRA:2022</v>
      </c>
      <c r="E41" s="104">
        <v>0.23594999999999999</v>
      </c>
      <c r="F41" s="104">
        <v>2.2400000000000002E-5</v>
      </c>
      <c r="G41" s="104">
        <v>3.1035234899328859E-3</v>
      </c>
      <c r="H41" s="104">
        <f>E41/'PAG100 FE GE'!$D$2</f>
        <v>0.23594999999999999</v>
      </c>
      <c r="I41" s="104">
        <f>F41/'PAG100 FE GE'!$D$3</f>
        <v>8.0000000000000007E-7</v>
      </c>
      <c r="J41" s="106">
        <f>G41/'PAG100 FE GE'!$D$4</f>
        <v>1.1711409395973155E-5</v>
      </c>
      <c r="K41" s="111">
        <f>H41*'PAG100 FE GE'!$E$2+'FE DEFRA A1. Fuel Eq'!I41*'PAG100 FE GE'!$E$3+J41*'PAG100 FE GE'!$E$4</f>
        <v>0.23916953476510067</v>
      </c>
      <c r="L41" s="111">
        <f>H41*'PAG20 FE GE'!$E$2+'FE DEFRA A1. Fuel Eq'!I41*'PAG20 FE GE'!$E$3+J41*'PAG20 FE GE'!$E$4</f>
        <v>0.23921217476510068</v>
      </c>
      <c r="M41" s="111">
        <f>H41*'PAG100 FE GE'!$D$2+'FE DEFRA A1. Fuel Eq'!I41*'PAG100 FE GE'!$D$3+J41*'PAG100 FE GE'!$D$4</f>
        <v>0.2390759234899329</v>
      </c>
      <c r="N41" s="111">
        <f>H41*'PAG20 FE GE'!$D$2+'FE DEFRA A1. Fuel Eq'!I41*'PAG20 FE GE'!$D$3+J41*'PAG20 FE GE'!$D$4</f>
        <v>0.23910981208053692</v>
      </c>
      <c r="O41" s="111">
        <f>H41*'PAG100 FE GE'!$C$2+'FE DEFRA A1. Fuel Eq'!I41*'PAG100 FE GE'!$C$3+J41*'PAG100 FE GE'!$C$4</f>
        <v>0.23945999999999998</v>
      </c>
      <c r="P41" s="112">
        <f>H41*'PAG20 FE GE'!$C$2+'FE DEFRA A1. Fuel Eq'!I41*'PAG20 FE GE'!$C$3+J41*'PAG20 FE GE'!$C$4</f>
        <v>0.23939219731543623</v>
      </c>
      <c r="Q41" t="s">
        <v>428</v>
      </c>
      <c r="R41">
        <v>2022</v>
      </c>
    </row>
    <row r="42" spans="1:18" x14ac:dyDescent="0.25">
      <c r="A42" s="110" t="s">
        <v>119</v>
      </c>
      <c r="B42" s="105" t="s">
        <v>149</v>
      </c>
      <c r="C42" s="127" t="s">
        <v>131</v>
      </c>
      <c r="D42" s="205" t="str">
        <f t="shared" si="0"/>
        <v>Fuel oil:tonnes :: DEFRA:2022</v>
      </c>
      <c r="E42" s="104">
        <v>3216.38</v>
      </c>
      <c r="F42" s="104">
        <v>5.3872</v>
      </c>
      <c r="G42" s="104">
        <v>7.1229865771812078</v>
      </c>
      <c r="H42" s="104">
        <f>E42/'PAG100 FE GE'!$D$2</f>
        <v>3216.38</v>
      </c>
      <c r="I42" s="104">
        <f>F42/'PAG100 FE GE'!$D$3</f>
        <v>0.19239999999999999</v>
      </c>
      <c r="J42" s="106">
        <f>G42/'PAG100 FE GE'!$D$4</f>
        <v>2.6879194630872481E-2</v>
      </c>
      <c r="K42" s="111">
        <f>H42*'PAG100 FE GE'!$E$2+'FE DEFRA A1. Fuel Eq'!I42*'PAG100 FE GE'!$E$3+J42*'PAG100 FE GE'!$E$4</f>
        <v>3229.0859801342285</v>
      </c>
      <c r="L42" s="111">
        <f>H42*'PAG20 FE GE'!$E$2+'FE DEFRA A1. Fuel Eq'!I42*'PAG20 FE GE'!$E$3+J42*'PAG20 FE GE'!$E$4</f>
        <v>3239.3409001342284</v>
      </c>
      <c r="M42" s="111">
        <f>H42*'PAG100 FE GE'!$D$2+'FE DEFRA A1. Fuel Eq'!I42*'PAG100 FE GE'!$D$3+J42*'PAG100 FE GE'!$D$4</f>
        <v>3228.8901865771813</v>
      </c>
      <c r="N42" s="111">
        <f>H42*'PAG20 FE GE'!$D$2+'FE DEFRA A1. Fuel Eq'!I42*'PAG20 FE GE'!$D$3+J42*'PAG20 FE GE'!$D$4</f>
        <v>3239.8301073825501</v>
      </c>
      <c r="O42" s="111">
        <f>H42*'PAG100 FE GE'!$C$2+'FE DEFRA A1. Fuel Eq'!I42*'PAG100 FE GE'!$C$3+J42*'PAG100 FE GE'!$C$4</f>
        <v>3229.2000000000003</v>
      </c>
      <c r="P42" s="112">
        <f>H42*'PAG20 FE GE'!$C$2+'FE DEFRA A1. Fuel Eq'!I42*'PAG20 FE GE'!$C$3+J42*'PAG20 FE GE'!$C$4</f>
        <v>3238.0008872483222</v>
      </c>
      <c r="Q42" t="s">
        <v>428</v>
      </c>
      <c r="R42">
        <v>2022</v>
      </c>
    </row>
    <row r="43" spans="1:18" x14ac:dyDescent="0.25">
      <c r="A43" s="110" t="s">
        <v>119</v>
      </c>
      <c r="B43" s="105" t="s">
        <v>149</v>
      </c>
      <c r="C43" s="127" t="s">
        <v>57</v>
      </c>
      <c r="D43" s="205" t="str">
        <f t="shared" si="0"/>
        <v>Fuel oil:kg :: DEFRA:2022</v>
      </c>
      <c r="E43" s="104">
        <f>E42/1000</f>
        <v>3.21638</v>
      </c>
      <c r="F43" s="104">
        <f t="shared" ref="F43" si="16">F42/1000</f>
        <v>5.3872E-3</v>
      </c>
      <c r="G43" s="104">
        <f t="shared" ref="G43" si="17">G42/1000</f>
        <v>7.1229865771812078E-3</v>
      </c>
      <c r="H43" s="104">
        <f>E43/'PAG100 FE GE'!$D$2</f>
        <v>3.21638</v>
      </c>
      <c r="I43" s="104">
        <f>F43/'PAG100 FE GE'!$D$3</f>
        <v>1.9239999999999999E-4</v>
      </c>
      <c r="J43" s="106">
        <f>G43/'PAG100 FE GE'!$D$4</f>
        <v>2.6879194630872482E-5</v>
      </c>
      <c r="K43" s="111">
        <f>H43*'PAG100 FE GE'!$E$2+'FE DEFRA A1. Fuel Eq'!I43*'PAG100 FE GE'!$E$3+J43*'PAG100 FE GE'!$E$4</f>
        <v>3.2290859801342284</v>
      </c>
      <c r="L43" s="111">
        <f>H43*'PAG20 FE GE'!$E$2+'FE DEFRA A1. Fuel Eq'!I43*'PAG20 FE GE'!$E$3+J43*'PAG20 FE GE'!$E$4</f>
        <v>3.2393409001342284</v>
      </c>
      <c r="M43" s="111">
        <f>H43*'PAG100 FE GE'!$D$2+'FE DEFRA A1. Fuel Eq'!I43*'PAG100 FE GE'!$D$3+J43*'PAG100 FE GE'!$D$4</f>
        <v>3.2288901865771811</v>
      </c>
      <c r="N43" s="111">
        <f>H43*'PAG20 FE GE'!$D$2+'FE DEFRA A1. Fuel Eq'!I43*'PAG20 FE GE'!$D$3+J43*'PAG20 FE GE'!$D$4</f>
        <v>3.2398301073825504</v>
      </c>
      <c r="O43" s="111">
        <f>H43*'PAG100 FE GE'!$C$2+'FE DEFRA A1. Fuel Eq'!I43*'PAG100 FE GE'!$C$3+J43*'PAG100 FE GE'!$C$4</f>
        <v>3.2292000000000001</v>
      </c>
      <c r="P43" s="112">
        <f>H43*'PAG20 FE GE'!$C$2+'FE DEFRA A1. Fuel Eq'!I43*'PAG20 FE GE'!$C$3+J43*'PAG20 FE GE'!$C$4</f>
        <v>3.2380008872483224</v>
      </c>
      <c r="Q43" t="s">
        <v>428</v>
      </c>
      <c r="R43">
        <v>2022</v>
      </c>
    </row>
    <row r="44" spans="1:18" x14ac:dyDescent="0.25">
      <c r="A44" s="110" t="s">
        <v>119</v>
      </c>
      <c r="B44" s="105" t="s">
        <v>149</v>
      </c>
      <c r="C44" s="127" t="s">
        <v>55</v>
      </c>
      <c r="D44" s="205" t="str">
        <f t="shared" si="0"/>
        <v>Fuel oil:l :: DEFRA:2022</v>
      </c>
      <c r="E44" s="104">
        <v>3.16262</v>
      </c>
      <c r="F44" s="104">
        <v>5.2976000000000004E-3</v>
      </c>
      <c r="G44" s="104">
        <v>7.00738255033557E-3</v>
      </c>
      <c r="H44" s="104">
        <f>E44/'PAG100 FE GE'!$D$2</f>
        <v>3.16262</v>
      </c>
      <c r="I44" s="104">
        <f>F44/'PAG100 FE GE'!$D$3</f>
        <v>1.8920000000000002E-4</v>
      </c>
      <c r="J44" s="106">
        <f>G44/'PAG100 FE GE'!$D$4</f>
        <v>2.6442953020134226E-5</v>
      </c>
      <c r="K44" s="111">
        <f>H44*'PAG100 FE GE'!$E$2+'FE DEFRA A1. Fuel Eq'!I44*'PAG100 FE GE'!$E$3+J44*'PAG100 FE GE'!$E$4</f>
        <v>3.1751176061744966</v>
      </c>
      <c r="L44" s="111">
        <f>H44*'PAG20 FE GE'!$E$2+'FE DEFRA A1. Fuel Eq'!I44*'PAG20 FE GE'!$E$3+J44*'PAG20 FE GE'!$E$4</f>
        <v>3.1852019661744966</v>
      </c>
      <c r="M44" s="111">
        <f>H44*'PAG100 FE GE'!$D$2+'FE DEFRA A1. Fuel Eq'!I44*'PAG100 FE GE'!$D$3+J44*'PAG100 FE GE'!$D$4</f>
        <v>3.1749249825503356</v>
      </c>
      <c r="N44" s="111">
        <f>H44*'PAG20 FE GE'!$D$2+'FE DEFRA A1. Fuel Eq'!I44*'PAG20 FE GE'!$D$3+J44*'PAG20 FE GE'!$D$4</f>
        <v>3.1856829395973154</v>
      </c>
      <c r="O44" s="111">
        <f>H44*'PAG100 FE GE'!$C$2+'FE DEFRA A1. Fuel Eq'!I44*'PAG100 FE GE'!$C$3+J44*'PAG100 FE GE'!$C$4</f>
        <v>3.17523</v>
      </c>
      <c r="P44" s="112">
        <f>H44*'PAG20 FE GE'!$C$2+'FE DEFRA A1. Fuel Eq'!I44*'PAG20 FE GE'!$C$3+J44*'PAG20 FE GE'!$C$4</f>
        <v>3.183884413422819</v>
      </c>
      <c r="Q44" t="s">
        <v>428</v>
      </c>
      <c r="R44">
        <v>2022</v>
      </c>
    </row>
    <row r="45" spans="1:18" x14ac:dyDescent="0.25">
      <c r="A45" s="110" t="s">
        <v>119</v>
      </c>
      <c r="B45" s="105" t="s">
        <v>149</v>
      </c>
      <c r="C45" s="127" t="s">
        <v>133</v>
      </c>
      <c r="D45" s="205" t="str">
        <f t="shared" si="0"/>
        <v>Fuel oil:kWh (Net CV) :: DEFRA:2022</v>
      </c>
      <c r="E45" s="104">
        <v>0.28412999999999999</v>
      </c>
      <c r="F45" s="104">
        <v>4.7040000000000005E-4</v>
      </c>
      <c r="G45" s="104">
        <v>6.3137583892617451E-4</v>
      </c>
      <c r="H45" s="104">
        <f>E45/'PAG100 FE GE'!$D$2</f>
        <v>0.28412999999999999</v>
      </c>
      <c r="I45" s="104">
        <f>F45/'PAG100 FE GE'!$D$3</f>
        <v>1.6800000000000002E-5</v>
      </c>
      <c r="J45" s="106">
        <f>G45/'PAG100 FE GE'!$D$4</f>
        <v>2.3825503355704697E-6</v>
      </c>
      <c r="K45" s="111">
        <f>H45*'PAG100 FE GE'!$E$2+'FE DEFRA A1. Fuel Eq'!I45*'PAG100 FE GE'!$E$3+J45*'PAG100 FE GE'!$E$4</f>
        <v>0.28524915624161074</v>
      </c>
      <c r="L45" s="111">
        <f>H45*'PAG20 FE GE'!$E$2+'FE DEFRA A1. Fuel Eq'!I45*'PAG20 FE GE'!$E$3+J45*'PAG20 FE GE'!$E$4</f>
        <v>0.28614459624161076</v>
      </c>
      <c r="M45" s="111">
        <f>H45*'PAG100 FE GE'!$D$2+'FE DEFRA A1. Fuel Eq'!I45*'PAG100 FE GE'!$D$3+J45*'PAG100 FE GE'!$D$4</f>
        <v>0.28523177583892617</v>
      </c>
      <c r="N45" s="111">
        <f>H45*'PAG20 FE GE'!$D$2+'FE DEFRA A1. Fuel Eq'!I45*'PAG20 FE GE'!$D$3+J45*'PAG20 FE GE'!$D$4</f>
        <v>0.2861869932885906</v>
      </c>
      <c r="O45" s="111">
        <f>H45*'PAG100 FE GE'!$C$2+'FE DEFRA A1. Fuel Eq'!I45*'PAG100 FE GE'!$C$3+J45*'PAG100 FE GE'!$C$4</f>
        <v>0.28525999999999996</v>
      </c>
      <c r="P45" s="112">
        <f>H45*'PAG20 FE GE'!$C$2+'FE DEFRA A1. Fuel Eq'!I45*'PAG20 FE GE'!$C$3+J45*'PAG20 FE GE'!$C$4</f>
        <v>0.28602815704697981</v>
      </c>
      <c r="Q45" t="s">
        <v>428</v>
      </c>
      <c r="R45">
        <v>2022</v>
      </c>
    </row>
    <row r="46" spans="1:18" x14ac:dyDescent="0.25">
      <c r="A46" s="110" t="s">
        <v>119</v>
      </c>
      <c r="B46" s="105" t="s">
        <v>149</v>
      </c>
      <c r="C46" s="127" t="s">
        <v>134</v>
      </c>
      <c r="D46" s="205" t="str">
        <f t="shared" si="0"/>
        <v>Fuel oil:kWh (Gross CV) :: DEFRA:2022</v>
      </c>
      <c r="E46" s="104">
        <v>0.26708999999999999</v>
      </c>
      <c r="F46" s="104">
        <v>4.4800000000000005E-4</v>
      </c>
      <c r="G46" s="104">
        <v>5.9580536912751678E-4</v>
      </c>
      <c r="H46" s="104">
        <f>E46/'PAG100 FE GE'!$D$2</f>
        <v>0.26708999999999999</v>
      </c>
      <c r="I46" s="104">
        <f>F46/'PAG100 FE GE'!$D$3</f>
        <v>1.6000000000000003E-5</v>
      </c>
      <c r="J46" s="106">
        <f>G46/'PAG100 FE GE'!$D$4</f>
        <v>2.2483221476510068E-6</v>
      </c>
      <c r="K46" s="111">
        <f>H46*'PAG100 FE GE'!$E$2+'FE DEFRA A1. Fuel Eq'!I46*'PAG100 FE GE'!$E$3+J46*'PAG100 FE GE'!$E$4</f>
        <v>0.26815019194630874</v>
      </c>
      <c r="L46" s="111">
        <f>H46*'PAG20 FE GE'!$E$2+'FE DEFRA A1. Fuel Eq'!I46*'PAG20 FE GE'!$E$3+J46*'PAG20 FE GE'!$E$4</f>
        <v>0.26900299194630872</v>
      </c>
      <c r="M46" s="111">
        <f>H46*'PAG100 FE GE'!$D$2+'FE DEFRA A1. Fuel Eq'!I46*'PAG100 FE GE'!$D$3+J46*'PAG100 FE GE'!$D$4</f>
        <v>0.26813380536912751</v>
      </c>
      <c r="N46" s="111">
        <f>H46*'PAG20 FE GE'!$D$2+'FE DEFRA A1. Fuel Eq'!I46*'PAG20 FE GE'!$D$3+J46*'PAG20 FE GE'!$D$4</f>
        <v>0.26904355704697991</v>
      </c>
      <c r="O46" s="111">
        <f>H46*'PAG100 FE GE'!$C$2+'FE DEFRA A1. Fuel Eq'!I46*'PAG100 FE GE'!$C$3+J46*'PAG100 FE GE'!$C$4</f>
        <v>0.26816000000000001</v>
      </c>
      <c r="P46" s="112">
        <f>H46*'PAG20 FE GE'!$C$2+'FE DEFRA A1. Fuel Eq'!I46*'PAG20 FE GE'!$C$3+J46*'PAG20 FE GE'!$C$4</f>
        <v>0.26889176510067114</v>
      </c>
      <c r="Q46" t="s">
        <v>428</v>
      </c>
      <c r="R46">
        <v>2022</v>
      </c>
    </row>
    <row r="47" spans="1:18" x14ac:dyDescent="0.25">
      <c r="A47" s="110" t="s">
        <v>119</v>
      </c>
      <c r="B47" s="105" t="s">
        <v>150</v>
      </c>
      <c r="C47" s="127" t="s">
        <v>131</v>
      </c>
      <c r="D47" s="205" t="str">
        <f t="shared" si="0"/>
        <v>Gas oil:tonnes :: DEFRA:2022</v>
      </c>
      <c r="E47" s="104">
        <v>3190</v>
      </c>
      <c r="F47" s="104">
        <v>3.6848000000000005</v>
      </c>
      <c r="G47" s="104">
        <v>32.893791946308724</v>
      </c>
      <c r="H47" s="104">
        <f>E47/'PAG100 FE GE'!$D$2</f>
        <v>3190</v>
      </c>
      <c r="I47" s="104">
        <f>F47/'PAG100 FE GE'!$D$3</f>
        <v>0.13160000000000002</v>
      </c>
      <c r="J47" s="106">
        <f>G47/'PAG100 FE GE'!$D$4</f>
        <v>0.12412751677852349</v>
      </c>
      <c r="K47" s="111">
        <f>H47*'PAG100 FE GE'!$E$2+'FE DEFRA A1. Fuel Eq'!I47*'PAG100 FE GE'!$E$3+J47*'PAG100 FE GE'!$E$4</f>
        <v>3227.5584520805369</v>
      </c>
      <c r="L47" s="111">
        <f>H47*'PAG20 FE GE'!$E$2+'FE DEFRA A1. Fuel Eq'!I47*'PAG20 FE GE'!$E$3+J47*'PAG20 FE GE'!$E$4</f>
        <v>3234.5727320805368</v>
      </c>
      <c r="M47" s="111">
        <f>H47*'PAG100 FE GE'!$D$2+'FE DEFRA A1. Fuel Eq'!I47*'PAG100 FE GE'!$D$3+J47*'PAG100 FE GE'!$D$4</f>
        <v>3226.5785919463087</v>
      </c>
      <c r="N47" s="111">
        <f>H47*'PAG20 FE GE'!$D$2+'FE DEFRA A1. Fuel Eq'!I47*'PAG20 FE GE'!$D$3+J47*'PAG20 FE GE'!$D$4</f>
        <v>3233.9556644295303</v>
      </c>
      <c r="O47" s="111">
        <f>H47*'PAG100 FE GE'!$C$2+'FE DEFRA A1. Fuel Eq'!I47*'PAG100 FE GE'!$C$3+J47*'PAG100 FE GE'!$C$4</f>
        <v>3230.2799999999997</v>
      </c>
      <c r="P47" s="112">
        <f>H47*'PAG20 FE GE'!$C$2+'FE DEFRA A1. Fuel Eq'!I47*'PAG20 FE GE'!$C$3+J47*'PAG20 FE GE'!$C$4</f>
        <v>3235.348052348993</v>
      </c>
      <c r="Q47" t="s">
        <v>428</v>
      </c>
      <c r="R47">
        <v>2022</v>
      </c>
    </row>
    <row r="48" spans="1:18" x14ac:dyDescent="0.25">
      <c r="A48" s="110" t="s">
        <v>119</v>
      </c>
      <c r="B48" s="105" t="s">
        <v>150</v>
      </c>
      <c r="C48" s="127" t="s">
        <v>55</v>
      </c>
      <c r="D48" s="205" t="str">
        <f t="shared" si="0"/>
        <v>Gas oil:l :: DEFRA:2022</v>
      </c>
      <c r="E48" s="104">
        <f>E47/1000</f>
        <v>3.19</v>
      </c>
      <c r="F48" s="104">
        <f t="shared" ref="F48" si="18">F47/1000</f>
        <v>3.6848000000000007E-3</v>
      </c>
      <c r="G48" s="104">
        <f t="shared" ref="G48" si="19">G47/1000</f>
        <v>3.2893791946308724E-2</v>
      </c>
      <c r="H48" s="104">
        <f>E48/'PAG100 FE GE'!$D$2</f>
        <v>3.19</v>
      </c>
      <c r="I48" s="104">
        <f>F48/'PAG100 FE GE'!$D$3</f>
        <v>1.3160000000000003E-4</v>
      </c>
      <c r="J48" s="106">
        <f>G48/'PAG100 FE GE'!$D$4</f>
        <v>1.2412751677852348E-4</v>
      </c>
      <c r="K48" s="111">
        <f>H48*'PAG100 FE GE'!$E$2+'FE DEFRA A1. Fuel Eq'!I48*'PAG100 FE GE'!$E$3+J48*'PAG100 FE GE'!$E$4</f>
        <v>3.2275584520805367</v>
      </c>
      <c r="L48" s="111">
        <f>H48*'PAG20 FE GE'!$E$2+'FE DEFRA A1. Fuel Eq'!I48*'PAG20 FE GE'!$E$3+J48*'PAG20 FE GE'!$E$4</f>
        <v>3.2345727320805366</v>
      </c>
      <c r="M48" s="111">
        <f>H48*'PAG100 FE GE'!$D$2+'FE DEFRA A1. Fuel Eq'!I48*'PAG100 FE GE'!$D$3+J48*'PAG100 FE GE'!$D$4</f>
        <v>3.2265785919463084</v>
      </c>
      <c r="N48" s="111">
        <f>H48*'PAG20 FE GE'!$D$2+'FE DEFRA A1. Fuel Eq'!I48*'PAG20 FE GE'!$D$3+J48*'PAG20 FE GE'!$D$4</f>
        <v>3.23395566442953</v>
      </c>
      <c r="O48" s="111">
        <f>H48*'PAG100 FE GE'!$C$2+'FE DEFRA A1. Fuel Eq'!I48*'PAG100 FE GE'!$C$3+J48*'PAG100 FE GE'!$C$4</f>
        <v>3.2302799999999996</v>
      </c>
      <c r="P48" s="112">
        <f>H48*'PAG20 FE GE'!$C$2+'FE DEFRA A1. Fuel Eq'!I48*'PAG20 FE GE'!$C$3+J48*'PAG20 FE GE'!$C$4</f>
        <v>3.2353480523489928</v>
      </c>
      <c r="Q48" t="s">
        <v>428</v>
      </c>
      <c r="R48">
        <v>2022</v>
      </c>
    </row>
    <row r="49" spans="1:18" x14ac:dyDescent="0.25">
      <c r="A49" s="110" t="s">
        <v>119</v>
      </c>
      <c r="B49" s="105" t="s">
        <v>150</v>
      </c>
      <c r="C49" s="127" t="s">
        <v>132</v>
      </c>
      <c r="D49" s="205" t="str">
        <f t="shared" si="0"/>
        <v>Gas oil:litres :: DEFRA:2022</v>
      </c>
      <c r="E49" s="104">
        <v>2.72417</v>
      </c>
      <c r="F49" s="104">
        <v>3.1472000000000002E-3</v>
      </c>
      <c r="G49" s="104">
        <v>2.8091778523489933E-2</v>
      </c>
      <c r="H49" s="104">
        <f>E49/'PAG100 FE GE'!$D$2</f>
        <v>2.72417</v>
      </c>
      <c r="I49" s="104">
        <f>F49/'PAG100 FE GE'!$D$3</f>
        <v>1.1240000000000001E-4</v>
      </c>
      <c r="J49" s="106">
        <f>G49/'PAG100 FE GE'!$D$4</f>
        <v>1.0600671140939598E-4</v>
      </c>
      <c r="K49" s="111">
        <f>H49*'PAG100 FE GE'!$E$2+'FE DEFRA A1. Fuel Eq'!I49*'PAG100 FE GE'!$E$3+J49*'PAG100 FE GE'!$E$4</f>
        <v>2.7562457922147647</v>
      </c>
      <c r="L49" s="111">
        <f>H49*'PAG20 FE GE'!$E$2+'FE DEFRA A1. Fuel Eq'!I49*'PAG20 FE GE'!$E$3+J49*'PAG20 FE GE'!$E$4</f>
        <v>2.7622367122147651</v>
      </c>
      <c r="M49" s="111">
        <f>H49*'PAG100 FE GE'!$D$2+'FE DEFRA A1. Fuel Eq'!I49*'PAG100 FE GE'!$D$3+J49*'PAG100 FE GE'!$D$4</f>
        <v>2.7554089785234899</v>
      </c>
      <c r="N49" s="111">
        <f>H49*'PAG20 FE GE'!$D$2+'FE DEFRA A1. Fuel Eq'!I49*'PAG20 FE GE'!$D$3+J49*'PAG20 FE GE'!$D$4</f>
        <v>2.7617097718120807</v>
      </c>
      <c r="O49" s="111">
        <f>H49*'PAG100 FE GE'!$C$2+'FE DEFRA A1. Fuel Eq'!I49*'PAG100 FE GE'!$C$3+J49*'PAG100 FE GE'!$C$4</f>
        <v>2.7585700000000002</v>
      </c>
      <c r="P49" s="112">
        <f>H49*'PAG20 FE GE'!$C$2+'FE DEFRA A1. Fuel Eq'!I49*'PAG20 FE GE'!$C$3+J49*'PAG20 FE GE'!$C$4</f>
        <v>2.7628987395973152</v>
      </c>
      <c r="Q49" t="s">
        <v>428</v>
      </c>
      <c r="R49">
        <v>2022</v>
      </c>
    </row>
    <row r="50" spans="1:18" x14ac:dyDescent="0.25">
      <c r="A50" s="110" t="s">
        <v>119</v>
      </c>
      <c r="B50" s="105" t="s">
        <v>150</v>
      </c>
      <c r="C50" s="127" t="s">
        <v>133</v>
      </c>
      <c r="D50" s="205" t="str">
        <f t="shared" si="0"/>
        <v>Gas oil:kWh (Net CV) :: DEFRA:2022</v>
      </c>
      <c r="E50" s="104">
        <v>0.26978000000000002</v>
      </c>
      <c r="F50" s="104">
        <v>3.1359999999999998E-4</v>
      </c>
      <c r="G50" s="104">
        <v>2.7833892617449662E-3</v>
      </c>
      <c r="H50" s="104">
        <f>E50/'PAG100 FE GE'!$D$2</f>
        <v>0.26978000000000002</v>
      </c>
      <c r="I50" s="104">
        <f>F50/'PAG100 FE GE'!$D$3</f>
        <v>1.1199999999999999E-5</v>
      </c>
      <c r="J50" s="106">
        <f>G50/'PAG100 FE GE'!$D$4</f>
        <v>1.0503355704697985E-5</v>
      </c>
      <c r="K50" s="111">
        <f>H50*'PAG100 FE GE'!$E$2+'FE DEFRA A1. Fuel Eq'!I50*'PAG100 FE GE'!$E$3+J50*'PAG100 FE GE'!$E$4</f>
        <v>0.27295989610738258</v>
      </c>
      <c r="L50" s="111">
        <f>H50*'PAG20 FE GE'!$E$2+'FE DEFRA A1. Fuel Eq'!I50*'PAG20 FE GE'!$E$3+J50*'PAG20 FE GE'!$E$4</f>
        <v>0.27355685610738256</v>
      </c>
      <c r="M50" s="111">
        <f>H50*'PAG100 FE GE'!$D$2+'FE DEFRA A1. Fuel Eq'!I50*'PAG100 FE GE'!$D$3+J50*'PAG100 FE GE'!$D$4</f>
        <v>0.27287698926174503</v>
      </c>
      <c r="N50" s="111">
        <f>H50*'PAG20 FE GE'!$D$2+'FE DEFRA A1. Fuel Eq'!I50*'PAG20 FE GE'!$D$3+J50*'PAG20 FE GE'!$D$4</f>
        <v>0.27350488590604027</v>
      </c>
      <c r="O50" s="111">
        <f>H50*'PAG100 FE GE'!$C$2+'FE DEFRA A1. Fuel Eq'!I50*'PAG100 FE GE'!$C$3+J50*'PAG100 FE GE'!$C$4</f>
        <v>0.27319000000000004</v>
      </c>
      <c r="P50" s="112">
        <f>H50*'PAG20 FE GE'!$C$2+'FE DEFRA A1. Fuel Eq'!I50*'PAG20 FE GE'!$C$3+J50*'PAG20 FE GE'!$C$4</f>
        <v>0.27362186979865771</v>
      </c>
      <c r="Q50" t="s">
        <v>428</v>
      </c>
      <c r="R50">
        <v>2022</v>
      </c>
    </row>
    <row r="51" spans="1:18" x14ac:dyDescent="0.25">
      <c r="A51" s="110" t="s">
        <v>119</v>
      </c>
      <c r="B51" s="105" t="s">
        <v>150</v>
      </c>
      <c r="C51" s="127" t="s">
        <v>134</v>
      </c>
      <c r="D51" s="205" t="str">
        <f t="shared" si="0"/>
        <v>Gas oil:kWh (Gross CV) :: DEFRA:2022</v>
      </c>
      <c r="E51" s="104">
        <v>0.25358999999999998</v>
      </c>
      <c r="F51" s="104">
        <v>2.9119999999999998E-4</v>
      </c>
      <c r="G51" s="104">
        <v>2.6144295302013422E-3</v>
      </c>
      <c r="H51" s="104">
        <f>E51/'PAG100 FE GE'!$D$2</f>
        <v>0.25358999999999998</v>
      </c>
      <c r="I51" s="104">
        <f>F51/'PAG100 FE GE'!$D$3</f>
        <v>1.0399999999999999E-5</v>
      </c>
      <c r="J51" s="106">
        <f>G51/'PAG100 FE GE'!$D$4</f>
        <v>9.8657718120805362E-6</v>
      </c>
      <c r="K51" s="111">
        <f>H51*'PAG100 FE GE'!$E$2+'FE DEFRA A1. Fuel Eq'!I51*'PAG100 FE GE'!$E$3+J51*'PAG100 FE GE'!$E$4</f>
        <v>0.25657351570469794</v>
      </c>
      <c r="L51" s="111">
        <f>H51*'PAG20 FE GE'!$E$2+'FE DEFRA A1. Fuel Eq'!I51*'PAG20 FE GE'!$E$3+J51*'PAG20 FE GE'!$E$4</f>
        <v>0.25712783570469794</v>
      </c>
      <c r="M51" s="111">
        <f>H51*'PAG100 FE GE'!$D$2+'FE DEFRA A1. Fuel Eq'!I51*'PAG100 FE GE'!$D$3+J51*'PAG100 FE GE'!$D$4</f>
        <v>0.25649562953020133</v>
      </c>
      <c r="N51" s="111">
        <f>H51*'PAG20 FE GE'!$D$2+'FE DEFRA A1. Fuel Eq'!I51*'PAG20 FE GE'!$D$3+J51*'PAG20 FE GE'!$D$4</f>
        <v>0.25707856375838922</v>
      </c>
      <c r="O51" s="111">
        <f>H51*'PAG100 FE GE'!$C$2+'FE DEFRA A1. Fuel Eq'!I51*'PAG100 FE GE'!$C$3+J51*'PAG100 FE GE'!$C$4</f>
        <v>0.25678999999999996</v>
      </c>
      <c r="P51" s="112">
        <f>H51*'PAG20 FE GE'!$C$2+'FE DEFRA A1. Fuel Eq'!I51*'PAG20 FE GE'!$C$3+J51*'PAG20 FE GE'!$C$4</f>
        <v>0.25719000805369124</v>
      </c>
      <c r="Q51" t="s">
        <v>428</v>
      </c>
      <c r="R51">
        <v>2022</v>
      </c>
    </row>
    <row r="52" spans="1:18" x14ac:dyDescent="0.25">
      <c r="A52" s="110" t="s">
        <v>119</v>
      </c>
      <c r="B52" s="105" t="s">
        <v>42</v>
      </c>
      <c r="C52" s="127" t="s">
        <v>131</v>
      </c>
      <c r="D52" s="205" t="str">
        <f t="shared" si="0"/>
        <v>Gasolina:tonnes :: DEFRA:2022</v>
      </c>
      <c r="E52" s="104">
        <v>2787.93</v>
      </c>
      <c r="F52" s="104">
        <v>10.841600000000001</v>
      </c>
      <c r="G52" s="104">
        <v>7.8877516778523482</v>
      </c>
      <c r="H52" s="104">
        <f>E52/'PAG100 FE GE'!$D$2</f>
        <v>2787.93</v>
      </c>
      <c r="I52" s="104">
        <f>F52/'PAG100 FE GE'!$D$3</f>
        <v>0.38720000000000004</v>
      </c>
      <c r="J52" s="106">
        <f>G52/'PAG100 FE GE'!$D$4</f>
        <v>2.9765100671140937E-2</v>
      </c>
      <c r="K52" s="111">
        <f>H52*'PAG100 FE GE'!$E$2+'FE DEFRA A1. Fuel Eq'!I52*'PAG100 FE GE'!$E$3+J52*'PAG100 FE GE'!$E$4</f>
        <v>2806.8587524832215</v>
      </c>
      <c r="L52" s="111">
        <f>H52*'PAG20 FE GE'!$E$2+'FE DEFRA A1. Fuel Eq'!I52*'PAG20 FE GE'!$E$3+J52*'PAG20 FE GE'!$E$4</f>
        <v>2827.4965124832211</v>
      </c>
      <c r="M52" s="111">
        <f>H52*'PAG100 FE GE'!$D$2+'FE DEFRA A1. Fuel Eq'!I52*'PAG100 FE GE'!$D$3+J52*'PAG100 FE GE'!$D$4</f>
        <v>2806.6593516778526</v>
      </c>
      <c r="N52" s="111">
        <f>H52*'PAG20 FE GE'!$D$2+'FE DEFRA A1. Fuel Eq'!I52*'PAG20 FE GE'!$D$3+J52*'PAG20 FE GE'!$D$4</f>
        <v>2828.6999865771809</v>
      </c>
      <c r="O52" s="111">
        <f>H52*'PAG100 FE GE'!$C$2+'FE DEFRA A1. Fuel Eq'!I52*'PAG100 FE GE'!$C$3+J52*'PAG100 FE GE'!$C$4</f>
        <v>2806.4799999999996</v>
      </c>
      <c r="P52" s="112">
        <f>H52*'PAG20 FE GE'!$C$2+'FE DEFRA A1. Fuel Eq'!I52*'PAG20 FE GE'!$C$3+J52*'PAG20 FE GE'!$C$4</f>
        <v>2824.4105140939596</v>
      </c>
      <c r="Q52" t="s">
        <v>428</v>
      </c>
      <c r="R52">
        <v>2022</v>
      </c>
    </row>
    <row r="53" spans="1:18" x14ac:dyDescent="0.25">
      <c r="A53" s="110" t="s">
        <v>119</v>
      </c>
      <c r="B53" s="105" t="s">
        <v>42</v>
      </c>
      <c r="C53" s="127" t="s">
        <v>57</v>
      </c>
      <c r="D53" s="205" t="str">
        <f t="shared" si="0"/>
        <v>Gasolina:kg :: DEFRA:2022</v>
      </c>
      <c r="E53" s="104">
        <f>E52/1000</f>
        <v>2.7879299999999998</v>
      </c>
      <c r="F53" s="104">
        <f t="shared" ref="F53" si="20">F52/1000</f>
        <v>1.0841600000000002E-2</v>
      </c>
      <c r="G53" s="104">
        <f t="shared" ref="G53" si="21">G52/1000</f>
        <v>7.887751677852349E-3</v>
      </c>
      <c r="H53" s="104">
        <f>E53/'PAG100 FE GE'!$D$2</f>
        <v>2.7879299999999998</v>
      </c>
      <c r="I53" s="104">
        <f>F53/'PAG100 FE GE'!$D$3</f>
        <v>3.8720000000000003E-4</v>
      </c>
      <c r="J53" s="106">
        <f>G53/'PAG100 FE GE'!$D$4</f>
        <v>2.9765100671140939E-5</v>
      </c>
      <c r="K53" s="111">
        <f>H53*'PAG100 FE GE'!$E$2+'FE DEFRA A1. Fuel Eq'!I53*'PAG100 FE GE'!$E$3+J53*'PAG100 FE GE'!$E$4</f>
        <v>2.8068587524832211</v>
      </c>
      <c r="L53" s="111">
        <f>H53*'PAG20 FE GE'!$E$2+'FE DEFRA A1. Fuel Eq'!I53*'PAG20 FE GE'!$E$3+J53*'PAG20 FE GE'!$E$4</f>
        <v>2.8274965124832212</v>
      </c>
      <c r="M53" s="111">
        <f>H53*'PAG100 FE GE'!$D$2+'FE DEFRA A1. Fuel Eq'!I53*'PAG100 FE GE'!$D$3+J53*'PAG100 FE GE'!$D$4</f>
        <v>2.806659351677852</v>
      </c>
      <c r="N53" s="111">
        <f>H53*'PAG20 FE GE'!$D$2+'FE DEFRA A1. Fuel Eq'!I53*'PAG20 FE GE'!$D$3+J53*'PAG20 FE GE'!$D$4</f>
        <v>2.8286999865771811</v>
      </c>
      <c r="O53" s="111">
        <f>H53*'PAG100 FE GE'!$C$2+'FE DEFRA A1. Fuel Eq'!I53*'PAG100 FE GE'!$C$3+J53*'PAG100 FE GE'!$C$4</f>
        <v>2.8064799999999996</v>
      </c>
      <c r="P53" s="112">
        <f>H53*'PAG20 FE GE'!$C$2+'FE DEFRA A1. Fuel Eq'!I53*'PAG20 FE GE'!$C$3+J53*'PAG20 FE GE'!$C$4</f>
        <v>2.8244105140939597</v>
      </c>
      <c r="Q53" t="s">
        <v>428</v>
      </c>
      <c r="R53">
        <v>2022</v>
      </c>
    </row>
    <row r="54" spans="1:18" x14ac:dyDescent="0.25">
      <c r="A54" s="110" t="s">
        <v>119</v>
      </c>
      <c r="B54" s="105" t="s">
        <v>42</v>
      </c>
      <c r="C54" s="127" t="s">
        <v>55</v>
      </c>
      <c r="D54" s="205" t="str">
        <f t="shared" si="0"/>
        <v>Gasolina:l :: DEFRA:2022</v>
      </c>
      <c r="E54" s="104">
        <v>2.0835400000000002</v>
      </c>
      <c r="F54" s="104">
        <v>8.064E-3</v>
      </c>
      <c r="G54" s="104">
        <v>5.8691275167785236E-3</v>
      </c>
      <c r="H54" s="104">
        <f>E54/'PAG100 FE GE'!$D$2</f>
        <v>2.0835400000000002</v>
      </c>
      <c r="I54" s="104">
        <f>F54/'PAG100 FE GE'!$D$3</f>
        <v>2.8800000000000001E-4</v>
      </c>
      <c r="J54" s="106">
        <f>G54/'PAG100 FE GE'!$D$4</f>
        <v>2.2147651006711409E-5</v>
      </c>
      <c r="K54" s="111">
        <f>H54*'PAG100 FE GE'!$E$2+'FE DEFRA A1. Fuel Eq'!I54*'PAG100 FE GE'!$E$3+J54*'PAG100 FE GE'!$E$4</f>
        <v>2.0976215087248327</v>
      </c>
      <c r="L54" s="111">
        <f>H54*'PAG20 FE GE'!$E$2+'FE DEFRA A1. Fuel Eq'!I54*'PAG20 FE GE'!$E$3+J54*'PAG20 FE GE'!$E$4</f>
        <v>2.1129719087248326</v>
      </c>
      <c r="M54" s="111">
        <f>H54*'PAG100 FE GE'!$D$2+'FE DEFRA A1. Fuel Eq'!I54*'PAG100 FE GE'!$D$3+J54*'PAG100 FE GE'!$D$4</f>
        <v>2.0974731275167788</v>
      </c>
      <c r="N54" s="111">
        <f>H54*'PAG20 FE GE'!$D$2+'FE DEFRA A1. Fuel Eq'!I54*'PAG20 FE GE'!$D$3+J54*'PAG20 FE GE'!$D$4</f>
        <v>2.1138669798657719</v>
      </c>
      <c r="O54" s="111">
        <f>H54*'PAG100 FE GE'!$C$2+'FE DEFRA A1. Fuel Eq'!I54*'PAG100 FE GE'!$C$3+J54*'PAG100 FE GE'!$C$4</f>
        <v>2.0973400000000004</v>
      </c>
      <c r="P54" s="112">
        <f>H54*'PAG20 FE GE'!$C$2+'FE DEFRA A1. Fuel Eq'!I54*'PAG20 FE GE'!$C$3+J54*'PAG20 FE GE'!$C$4</f>
        <v>2.1106766711409395</v>
      </c>
      <c r="Q54" t="s">
        <v>428</v>
      </c>
      <c r="R54">
        <v>2022</v>
      </c>
    </row>
    <row r="55" spans="1:18" x14ac:dyDescent="0.25">
      <c r="A55" s="110" t="s">
        <v>119</v>
      </c>
      <c r="B55" s="105" t="s">
        <v>42</v>
      </c>
      <c r="C55" s="127" t="s">
        <v>133</v>
      </c>
      <c r="D55" s="205" t="str">
        <f t="shared" si="0"/>
        <v>Gasolina:kWh (Net CV) :: DEFRA:2022</v>
      </c>
      <c r="E55" s="104">
        <v>0.23241999999999999</v>
      </c>
      <c r="F55" s="104">
        <v>8.9600000000000009E-4</v>
      </c>
      <c r="G55" s="104">
        <v>6.4916107382550331E-4</v>
      </c>
      <c r="H55" s="104">
        <f>E55/'PAG100 FE GE'!$D$2</f>
        <v>0.23241999999999999</v>
      </c>
      <c r="I55" s="104">
        <f>F55/'PAG100 FE GE'!$D$3</f>
        <v>3.2000000000000005E-5</v>
      </c>
      <c r="J55" s="106">
        <f>G55/'PAG100 FE GE'!$D$4</f>
        <v>2.4496644295302012E-6</v>
      </c>
      <c r="K55" s="111">
        <f>H55*'PAG100 FE GE'!$E$2+'FE DEFRA A1. Fuel Eq'!I55*'PAG100 FE GE'!$E$3+J55*'PAG100 FE GE'!$E$4</f>
        <v>0.23398155838926174</v>
      </c>
      <c r="L55" s="111">
        <f>H55*'PAG20 FE GE'!$E$2+'FE DEFRA A1. Fuel Eq'!I55*'PAG20 FE GE'!$E$3+J55*'PAG20 FE GE'!$E$4</f>
        <v>0.23568715838926174</v>
      </c>
      <c r="M55" s="111">
        <f>H55*'PAG100 FE GE'!$D$2+'FE DEFRA A1. Fuel Eq'!I55*'PAG100 FE GE'!$D$3+J55*'PAG100 FE GE'!$D$4</f>
        <v>0.23396516107382551</v>
      </c>
      <c r="N55" s="111">
        <f>H55*'PAG20 FE GE'!$D$2+'FE DEFRA A1. Fuel Eq'!I55*'PAG20 FE GE'!$D$3+J55*'PAG20 FE GE'!$D$4</f>
        <v>0.23578671140939597</v>
      </c>
      <c r="O55" s="111">
        <f>H55*'PAG100 FE GE'!$C$2+'FE DEFRA A1. Fuel Eq'!I55*'PAG100 FE GE'!$C$3+J55*'PAG100 FE GE'!$C$4</f>
        <v>0.23394999999999999</v>
      </c>
      <c r="P55" s="112">
        <f>H55*'PAG20 FE GE'!$C$2+'FE DEFRA A1. Fuel Eq'!I55*'PAG20 FE GE'!$C$3+J55*'PAG20 FE GE'!$C$4</f>
        <v>0.23543195302013423</v>
      </c>
      <c r="Q55" t="s">
        <v>428</v>
      </c>
      <c r="R55">
        <v>2022</v>
      </c>
    </row>
    <row r="56" spans="1:18" ht="15.75" thickBot="1" x14ac:dyDescent="0.3">
      <c r="A56" s="113" t="s">
        <v>119</v>
      </c>
      <c r="B56" s="107" t="s">
        <v>42</v>
      </c>
      <c r="C56" s="128" t="s">
        <v>134</v>
      </c>
      <c r="D56" s="205" t="str">
        <f t="shared" si="0"/>
        <v>Gasolina:kWh (Gross CV) :: DEFRA:2022</v>
      </c>
      <c r="E56" s="108">
        <v>0.22020999999999999</v>
      </c>
      <c r="F56" s="108">
        <v>8.4000000000000014E-4</v>
      </c>
      <c r="G56" s="108">
        <v>6.1359060402684559E-4</v>
      </c>
      <c r="H56" s="108">
        <f>E56/'PAG100 FE GE'!$D$2</f>
        <v>0.22020999999999999</v>
      </c>
      <c r="I56" s="108">
        <f>F56/'PAG100 FE GE'!$D$3</f>
        <v>3.0000000000000004E-5</v>
      </c>
      <c r="J56" s="109">
        <f>G56/'PAG100 FE GE'!$D$4</f>
        <v>2.3154362416107382E-6</v>
      </c>
      <c r="K56" s="114">
        <f>H56*'PAG100 FE GE'!$E$2+'FE DEFRA A1. Fuel Eq'!I56*'PAG100 FE GE'!$E$3+J56*'PAG100 FE GE'!$E$4</f>
        <v>0.22167911409395971</v>
      </c>
      <c r="L56" s="114">
        <f>H56*'PAG20 FE GE'!$E$2+'FE DEFRA A1. Fuel Eq'!I56*'PAG20 FE GE'!$E$3+J56*'PAG20 FE GE'!$E$4</f>
        <v>0.2232781140939597</v>
      </c>
      <c r="M56" s="114">
        <f>H56*'PAG100 FE GE'!$D$2+'FE DEFRA A1. Fuel Eq'!I56*'PAG100 FE GE'!$D$3+J56*'PAG100 FE GE'!$D$4</f>
        <v>0.22166359060402685</v>
      </c>
      <c r="N56" s="114">
        <f>H56*'PAG20 FE GE'!$D$2+'FE DEFRA A1. Fuel Eq'!I56*'PAG20 FE GE'!$D$3+J56*'PAG20 FE GE'!$D$4</f>
        <v>0.22337127516778521</v>
      </c>
      <c r="O56" s="114">
        <f>H56*'PAG100 FE GE'!$C$2+'FE DEFRA A1. Fuel Eq'!I56*'PAG100 FE GE'!$C$3+J56*'PAG100 FE GE'!$C$4</f>
        <v>0.22164999999999999</v>
      </c>
      <c r="P56" s="115">
        <f>H56*'PAG20 FE GE'!$C$2+'FE DEFRA A1. Fuel Eq'!I56*'PAG20 FE GE'!$C$3+J56*'PAG20 FE GE'!$C$4</f>
        <v>0.22303916107382549</v>
      </c>
      <c r="Q56" t="s">
        <v>428</v>
      </c>
      <c r="R56">
        <v>2022</v>
      </c>
    </row>
    <row r="112" spans="1:2" x14ac:dyDescent="0.25">
      <c r="A112" s="10"/>
      <c r="B112" s="10"/>
    </row>
    <row r="113" spans="1:2" x14ac:dyDescent="0.25">
      <c r="A113" s="10"/>
      <c r="B113" s="10"/>
    </row>
    <row r="114" spans="1:2" x14ac:dyDescent="0.25">
      <c r="A114" s="10"/>
      <c r="B114" s="10"/>
    </row>
    <row r="115" spans="1:2" x14ac:dyDescent="0.25">
      <c r="A115" s="10"/>
      <c r="B115" s="10"/>
    </row>
    <row r="116" spans="1:2" x14ac:dyDescent="0.25">
      <c r="A116" s="10"/>
      <c r="B116" s="10"/>
    </row>
    <row r="117" spans="1:2" x14ac:dyDescent="0.25">
      <c r="A117" s="10"/>
      <c r="B117" s="10"/>
    </row>
    <row r="118" spans="1:2" x14ac:dyDescent="0.25">
      <c r="A118" s="10"/>
      <c r="B118" s="10"/>
    </row>
    <row r="119" spans="1:2" x14ac:dyDescent="0.25">
      <c r="A119" s="10"/>
      <c r="B119" s="10"/>
    </row>
    <row r="120" spans="1:2" x14ac:dyDescent="0.25">
      <c r="A120" s="10"/>
      <c r="B120" s="10"/>
    </row>
    <row r="121" spans="1:2" x14ac:dyDescent="0.25">
      <c r="A121" s="10"/>
      <c r="B121" s="10"/>
    </row>
    <row r="122" spans="1:2" x14ac:dyDescent="0.25">
      <c r="A122" s="10"/>
      <c r="B122" s="10"/>
    </row>
    <row r="123" spans="1:2" x14ac:dyDescent="0.25">
      <c r="A123" s="10"/>
      <c r="B123" s="10"/>
    </row>
    <row r="124" spans="1:2" x14ac:dyDescent="0.25">
      <c r="A124" s="10"/>
      <c r="B124" s="10"/>
    </row>
    <row r="125" spans="1:2" x14ac:dyDescent="0.25">
      <c r="A125" s="10"/>
      <c r="B125" s="10"/>
    </row>
    <row r="126" spans="1:2" x14ac:dyDescent="0.25">
      <c r="A126" s="10"/>
      <c r="B126" s="10"/>
    </row>
    <row r="127" spans="1:2" x14ac:dyDescent="0.25">
      <c r="A127" s="10"/>
      <c r="B127" s="10"/>
    </row>
    <row r="128" spans="1:2" x14ac:dyDescent="0.25">
      <c r="A128" s="10"/>
      <c r="B128" s="10"/>
    </row>
    <row r="129" spans="1:2" x14ac:dyDescent="0.25">
      <c r="A129" s="10"/>
      <c r="B129" s="10"/>
    </row>
    <row r="130" spans="1:2" x14ac:dyDescent="0.25">
      <c r="A130" s="10"/>
      <c r="B130" s="10"/>
    </row>
    <row r="131" spans="1:2" x14ac:dyDescent="0.25">
      <c r="A131" s="10"/>
      <c r="B131" s="10"/>
    </row>
    <row r="132" spans="1:2" x14ac:dyDescent="0.25">
      <c r="A132" s="10"/>
      <c r="B132" s="10"/>
    </row>
    <row r="133" spans="1:2" x14ac:dyDescent="0.25">
      <c r="A133" s="10"/>
      <c r="B133" s="10"/>
    </row>
    <row r="134" spans="1:2" x14ac:dyDescent="0.25">
      <c r="A134" s="10"/>
      <c r="B134" s="10"/>
    </row>
    <row r="135" spans="1:2" x14ac:dyDescent="0.25">
      <c r="A135" s="10"/>
      <c r="B135" s="10"/>
    </row>
    <row r="136" spans="1:2" x14ac:dyDescent="0.25">
      <c r="A136" s="10"/>
      <c r="B136" s="10"/>
    </row>
    <row r="137" spans="1:2" x14ac:dyDescent="0.25">
      <c r="A137" s="10"/>
      <c r="B137" s="10"/>
    </row>
    <row r="138" spans="1:2" x14ac:dyDescent="0.25">
      <c r="A138" s="10"/>
      <c r="B138" s="10"/>
    </row>
    <row r="139" spans="1:2" x14ac:dyDescent="0.25">
      <c r="A139" s="10"/>
      <c r="B139" s="10"/>
    </row>
    <row r="140" spans="1:2" x14ac:dyDescent="0.25">
      <c r="A140" s="10"/>
      <c r="B140" s="10"/>
    </row>
  </sheetData>
  <pageMargins left="0.7" right="0.7" top="0.75" bottom="0.75" header="0.3" footer="0.3"/>
  <customProperties>
    <customPr name="GUID" r:id="rId1"/>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1"/>
  <dimension ref="A1:AA140"/>
  <sheetViews>
    <sheetView zoomScale="40" zoomScaleNormal="40" workbookViewId="0">
      <selection activeCell="C16" sqref="A16:C17"/>
    </sheetView>
  </sheetViews>
  <sheetFormatPr defaultRowHeight="15" x14ac:dyDescent="0.25"/>
  <cols>
    <col min="1" max="1" width="13.42578125" bestFit="1" customWidth="1"/>
    <col min="2" max="2" width="51" bestFit="1" customWidth="1"/>
    <col min="3" max="4" width="20" customWidth="1"/>
    <col min="5" max="5" width="21.7109375" style="71" bestFit="1" customWidth="1"/>
    <col min="6" max="6" width="21.5703125" style="71" bestFit="1" customWidth="1"/>
    <col min="7" max="7" width="22" style="71" bestFit="1" customWidth="1"/>
    <col min="8" max="10" width="14.7109375" style="71" customWidth="1"/>
    <col min="11" max="16" width="15.5703125" style="71" customWidth="1"/>
    <col min="21" max="21" width="16.85546875" customWidth="1"/>
    <col min="22" max="25" width="9.140625" style="153"/>
  </cols>
  <sheetData>
    <row r="1" spans="1:27" s="68" customFormat="1" ht="30.75" thickBot="1" x14ac:dyDescent="0.3">
      <c r="A1" s="116" t="s">
        <v>104</v>
      </c>
      <c r="B1" s="117" t="s">
        <v>82</v>
      </c>
      <c r="C1" s="126" t="s">
        <v>124</v>
      </c>
      <c r="D1" s="117" t="s">
        <v>667</v>
      </c>
      <c r="E1" s="118" t="s">
        <v>126</v>
      </c>
      <c r="F1" s="118" t="s">
        <v>127</v>
      </c>
      <c r="G1" s="118" t="s">
        <v>128</v>
      </c>
      <c r="H1" s="118" t="s">
        <v>228</v>
      </c>
      <c r="I1" s="118" t="s">
        <v>229</v>
      </c>
      <c r="J1" s="119" t="s">
        <v>230</v>
      </c>
      <c r="K1" s="120" t="s">
        <v>64</v>
      </c>
      <c r="L1" s="121" t="s">
        <v>63</v>
      </c>
      <c r="M1" s="121" t="s">
        <v>61</v>
      </c>
      <c r="N1" s="121" t="s">
        <v>65</v>
      </c>
      <c r="O1" s="121" t="s">
        <v>62</v>
      </c>
      <c r="P1" s="122" t="s">
        <v>65</v>
      </c>
      <c r="T1" s="123" t="s">
        <v>104</v>
      </c>
      <c r="U1" s="124" t="s">
        <v>82</v>
      </c>
      <c r="V1" s="124" t="s">
        <v>462</v>
      </c>
      <c r="W1" s="124" t="s">
        <v>463</v>
      </c>
      <c r="X1" s="124" t="s">
        <v>465</v>
      </c>
      <c r="Y1" s="125" t="s">
        <v>463</v>
      </c>
      <c r="Z1" s="426"/>
      <c r="AA1" s="427"/>
    </row>
    <row r="2" spans="1:27" x14ac:dyDescent="0.25">
      <c r="A2" s="110" t="s">
        <v>108</v>
      </c>
      <c r="B2" s="103" t="s">
        <v>231</v>
      </c>
      <c r="C2" s="127" t="s">
        <v>131</v>
      </c>
      <c r="D2" s="205" t="str">
        <f>B2&amp;":"&amp;C2</f>
        <v>Butano:tonnes</v>
      </c>
      <c r="E2" s="104">
        <v>3029.26</v>
      </c>
      <c r="F2" s="104">
        <v>2.5200000000000005</v>
      </c>
      <c r="G2" s="104">
        <v>1.6006711409395973</v>
      </c>
      <c r="H2" s="104">
        <f>E2/'PAG100 FE GE'!$D$2</f>
        <v>3029.26</v>
      </c>
      <c r="I2" s="104">
        <f>F2/'PAG100 FE GE'!$D$3</f>
        <v>9.0000000000000011E-2</v>
      </c>
      <c r="J2" s="106">
        <f>G2/'PAG100 FE GE'!$D$4</f>
        <v>6.0402684563758387E-3</v>
      </c>
      <c r="K2" s="111">
        <f>H2*'PAG100 FE GE'!$E$2+'FE DEFRA A1. Fuel Eq (2)'!I2*'PAG100 FE GE'!$E$3+J2*'PAG100 FE GE'!$E$4</f>
        <v>3033.4199932885908</v>
      </c>
      <c r="L2" s="111">
        <f>H2*'PAG20 FE GE'!$E$2+'FE DEFRA A1. Fuel Eq (2)'!I2*'PAG20 FE GE'!$E$3+J2*'PAG20 FE GE'!$E$4</f>
        <v>3038.2169932885909</v>
      </c>
      <c r="M2" s="111">
        <f>H2*'PAG100 FE GE'!$D$2+'FE DEFRA A1. Fuel Eq (2)'!I2*'PAG100 FE GE'!$D$3+J2*'PAG100 FE GE'!$D$4</f>
        <v>3033.3806711409397</v>
      </c>
      <c r="N2" s="111">
        <f>H2*'PAG20 FE GE'!$D$2+'FE DEFRA A1. Fuel Eq (2)'!I2*'PAG20 FE GE'!$D$3+J2*'PAG20 FE GE'!$D$4</f>
        <v>3038.5046308724836</v>
      </c>
      <c r="O2" s="111">
        <f>H2*'PAG100 FE GE'!$C$2+'FE DEFRA A1. Fuel Eq (2)'!I2*'PAG100 FE GE'!$C$3+J2*'PAG100 FE GE'!$C$4</f>
        <v>3033.3100000000004</v>
      </c>
      <c r="P2" s="112">
        <f>H2*'PAG20 FE GE'!$C$2+'FE DEFRA A1. Fuel Eq (2)'!I2*'PAG20 FE GE'!$C$3+J2*'PAG20 FE GE'!$C$4</f>
        <v>3037.4856375838926</v>
      </c>
      <c r="T2" s="130" t="s">
        <v>108</v>
      </c>
      <c r="U2" s="131" t="s">
        <v>231</v>
      </c>
      <c r="V2" s="132">
        <f>E4/E3</f>
        <v>0.57537484402131212</v>
      </c>
      <c r="W2" s="132" t="s">
        <v>464</v>
      </c>
      <c r="X2" s="135">
        <f>V2*1000</f>
        <v>575.37484402131213</v>
      </c>
      <c r="Y2" s="133" t="s">
        <v>466</v>
      </c>
    </row>
    <row r="3" spans="1:27" x14ac:dyDescent="0.25">
      <c r="A3" s="110" t="s">
        <v>108</v>
      </c>
      <c r="B3" s="103" t="s">
        <v>231</v>
      </c>
      <c r="C3" s="127" t="s">
        <v>57</v>
      </c>
      <c r="D3" s="205" t="str">
        <f t="shared" ref="D3:D56" si="0">B3&amp;":"&amp;C3</f>
        <v>Butano:kg</v>
      </c>
      <c r="E3" s="104">
        <f>E2/1000</f>
        <v>3.0292600000000003</v>
      </c>
      <c r="F3" s="104">
        <f t="shared" ref="F3:G3" si="1">F2/1000</f>
        <v>2.5200000000000005E-3</v>
      </c>
      <c r="G3" s="104">
        <f t="shared" si="1"/>
        <v>1.6006711409395974E-3</v>
      </c>
      <c r="H3" s="104">
        <f>E3/'PAG100 FE GE'!$D$2</f>
        <v>3.0292600000000003</v>
      </c>
      <c r="I3" s="104">
        <f>F3/'PAG100 FE GE'!$D$3</f>
        <v>9.0000000000000019E-5</v>
      </c>
      <c r="J3" s="106">
        <f>G3/'PAG100 FE GE'!$D$4</f>
        <v>6.040268456375839E-6</v>
      </c>
      <c r="K3" s="111">
        <f>H3*'PAG100 FE GE'!$E$2+'FE DEFRA A1. Fuel Eq (2)'!I3*'PAG100 FE GE'!$E$3+J3*'PAG100 FE GE'!$E$4</f>
        <v>3.0334199932885912</v>
      </c>
      <c r="L3" s="111">
        <f>H3*'PAG20 FE GE'!$E$2+'FE DEFRA A1. Fuel Eq (2)'!I3*'PAG20 FE GE'!$E$3+J3*'PAG20 FE GE'!$E$4</f>
        <v>3.0382169932885912</v>
      </c>
      <c r="M3" s="111">
        <f>H3*'PAG100 FE GE'!$D$2+'FE DEFRA A1. Fuel Eq (2)'!I3*'PAG100 FE GE'!$D$3+J3*'PAG100 FE GE'!$D$4</f>
        <v>3.0333806711409399</v>
      </c>
      <c r="N3" s="111">
        <f>H3*'PAG20 FE GE'!$D$2+'FE DEFRA A1. Fuel Eq (2)'!I3*'PAG20 FE GE'!$D$3+J3*'PAG20 FE GE'!$D$4</f>
        <v>3.0385046308724832</v>
      </c>
      <c r="O3" s="111">
        <f>H3*'PAG100 FE GE'!$C$2+'FE DEFRA A1. Fuel Eq (2)'!I3*'PAG100 FE GE'!$C$3+J3*'PAG100 FE GE'!$C$4</f>
        <v>3.0333100000000002</v>
      </c>
      <c r="P3" s="112">
        <f>H3*'PAG20 FE GE'!$C$2+'FE DEFRA A1. Fuel Eq (2)'!I3*'PAG20 FE GE'!$C$3+J3*'PAG20 FE GE'!$C$4</f>
        <v>3.0374856375838926</v>
      </c>
      <c r="T3" s="95" t="s">
        <v>108</v>
      </c>
      <c r="U3" s="80" t="s">
        <v>92</v>
      </c>
      <c r="V3" s="96">
        <f>E9/E8</f>
        <v>0.17500087975507617</v>
      </c>
      <c r="W3" s="96" t="s">
        <v>464</v>
      </c>
      <c r="X3" s="136">
        <f t="shared" ref="X3" si="2">V3*1000</f>
        <v>175.00087975507617</v>
      </c>
      <c r="Y3" s="97" t="s">
        <v>466</v>
      </c>
    </row>
    <row r="4" spans="1:27" x14ac:dyDescent="0.25">
      <c r="A4" s="110" t="s">
        <v>108</v>
      </c>
      <c r="B4" s="103" t="s">
        <v>231</v>
      </c>
      <c r="C4" s="127" t="s">
        <v>55</v>
      </c>
      <c r="D4" s="205" t="str">
        <f t="shared" si="0"/>
        <v>Butano:l</v>
      </c>
      <c r="E4" s="104">
        <v>1.7429600000000001</v>
      </c>
      <c r="F4" s="104">
        <v>1.4448E-3</v>
      </c>
      <c r="G4" s="104">
        <v>9.2483221476510056E-4</v>
      </c>
      <c r="H4" s="104">
        <f>E4/'PAG100 FE GE'!$D$2</f>
        <v>1.7429600000000001</v>
      </c>
      <c r="I4" s="104">
        <f>F4/'PAG100 FE GE'!$D$3</f>
        <v>5.1600000000000001E-5</v>
      </c>
      <c r="J4" s="106">
        <f>G4/'PAG100 FE GE'!$D$4</f>
        <v>3.4899328859060398E-6</v>
      </c>
      <c r="K4" s="111">
        <f>H4*'PAG100 FE GE'!$E$2+'FE DEFRA A1. Fuel Eq (2)'!I4*'PAG100 FE GE'!$E$3+J4*'PAG100 FE GE'!$E$4</f>
        <v>1.7453523916778524</v>
      </c>
      <c r="L4" s="111">
        <f>H4*'PAG20 FE GE'!$E$2+'FE DEFRA A1. Fuel Eq (2)'!I4*'PAG20 FE GE'!$E$3+J4*'PAG20 FE GE'!$E$4</f>
        <v>1.7481026716778523</v>
      </c>
      <c r="M4" s="111">
        <f>H4*'PAG100 FE GE'!$D$2+'FE DEFRA A1. Fuel Eq (2)'!I4*'PAG100 FE GE'!$D$3+J4*'PAG100 FE GE'!$D$4</f>
        <v>1.7453296322147651</v>
      </c>
      <c r="N4" s="111">
        <f>H4*'PAG20 FE GE'!$D$2+'FE DEFRA A1. Fuel Eq (2)'!I4*'PAG20 FE GE'!$D$3+J4*'PAG20 FE GE'!$D$4</f>
        <v>1.7482673422818793</v>
      </c>
      <c r="O4" s="111">
        <f>H4*'PAG100 FE GE'!$C$2+'FE DEFRA A1. Fuel Eq (2)'!I4*'PAG100 FE GE'!$C$3+J4*'PAG100 FE GE'!$C$4</f>
        <v>1.74529</v>
      </c>
      <c r="P4" s="112">
        <f>H4*'PAG20 FE GE'!$C$2+'FE DEFRA A1. Fuel Eq (2)'!I4*'PAG20 FE GE'!$C$3+J4*'PAG20 FE GE'!$C$4</f>
        <v>1.747683790604027</v>
      </c>
      <c r="T4" s="95" t="s">
        <v>108</v>
      </c>
      <c r="U4" s="80" t="s">
        <v>92</v>
      </c>
      <c r="V4" s="96">
        <f>V3</f>
        <v>0.17500087975507617</v>
      </c>
      <c r="W4" s="96" t="s">
        <v>464</v>
      </c>
      <c r="X4" s="138">
        <v>0.78169999999999995</v>
      </c>
      <c r="Y4" s="134" t="s">
        <v>56</v>
      </c>
    </row>
    <row r="5" spans="1:27" x14ac:dyDescent="0.25">
      <c r="A5" s="110" t="s">
        <v>108</v>
      </c>
      <c r="B5" s="103" t="s">
        <v>231</v>
      </c>
      <c r="C5" s="127" t="s">
        <v>133</v>
      </c>
      <c r="D5" s="205" t="str">
        <f t="shared" si="0"/>
        <v>Butano:kWh (Net CV)</v>
      </c>
      <c r="E5" s="104">
        <v>0.24074000000000001</v>
      </c>
      <c r="F5" s="104">
        <v>2.0160000000000002E-4</v>
      </c>
      <c r="G5" s="104">
        <v>1.2449664429530201E-4</v>
      </c>
      <c r="H5" s="104">
        <f>E5/'PAG100 FE GE'!$D$2</f>
        <v>0.24074000000000001</v>
      </c>
      <c r="I5" s="104">
        <f>F5/'PAG100 FE GE'!$D$3</f>
        <v>7.2000000000000005E-6</v>
      </c>
      <c r="J5" s="106">
        <f>G5/'PAG100 FE GE'!$D$4</f>
        <v>4.6979865771812082E-7</v>
      </c>
      <c r="K5" s="111">
        <f>H5*'PAG100 FE GE'!$E$2+'FE DEFRA A1. Fuel Eq (2)'!I5*'PAG100 FE GE'!$E$3+J5*'PAG100 FE GE'!$E$4</f>
        <v>0.24106913503355704</v>
      </c>
      <c r="L5" s="111">
        <f>H5*'PAG20 FE GE'!$E$2+'FE DEFRA A1. Fuel Eq (2)'!I5*'PAG20 FE GE'!$E$3+J5*'PAG20 FE GE'!$E$4</f>
        <v>0.24145289503355705</v>
      </c>
      <c r="M5" s="111">
        <f>H5*'PAG100 FE GE'!$D$2+'FE DEFRA A1. Fuel Eq (2)'!I5*'PAG100 FE GE'!$D$3+J5*'PAG100 FE GE'!$D$4</f>
        <v>0.24106609664429532</v>
      </c>
      <c r="N5" s="111">
        <f>H5*'PAG20 FE GE'!$D$2+'FE DEFRA A1. Fuel Eq (2)'!I5*'PAG20 FE GE'!$D$3+J5*'PAG20 FE GE'!$D$4</f>
        <v>0.2414760268456376</v>
      </c>
      <c r="O5" s="111">
        <f>H5*'PAG100 FE GE'!$C$2+'FE DEFRA A1. Fuel Eq (2)'!I5*'PAG100 FE GE'!$C$3+J5*'PAG100 FE GE'!$C$4</f>
        <v>0.24106000000000002</v>
      </c>
      <c r="P5" s="112">
        <f>H5*'PAG20 FE GE'!$C$2+'FE DEFRA A1. Fuel Eq (2)'!I5*'PAG20 FE GE'!$C$3+J5*'PAG20 FE GE'!$C$4</f>
        <v>0.24139417181208056</v>
      </c>
      <c r="T5" s="95" t="s">
        <v>108</v>
      </c>
      <c r="U5" s="80" t="s">
        <v>95</v>
      </c>
      <c r="V5" s="96">
        <f>E14/E13</f>
        <v>0.45249016275116999</v>
      </c>
      <c r="W5" s="96" t="s">
        <v>464</v>
      </c>
      <c r="X5" s="136">
        <f>V5*1000</f>
        <v>452.49016275116998</v>
      </c>
      <c r="Y5" s="97" t="s">
        <v>466</v>
      </c>
    </row>
    <row r="6" spans="1:27" x14ac:dyDescent="0.25">
      <c r="A6" s="110" t="s">
        <v>108</v>
      </c>
      <c r="B6" s="103" t="s">
        <v>231</v>
      </c>
      <c r="C6" s="127" t="s">
        <v>134</v>
      </c>
      <c r="D6" s="205" t="str">
        <f t="shared" si="0"/>
        <v>Butano:kWh (Gross CV)</v>
      </c>
      <c r="E6" s="104">
        <v>0.22209999999999999</v>
      </c>
      <c r="F6" s="104">
        <v>1.9040000000000002E-4</v>
      </c>
      <c r="G6" s="104">
        <v>1.1560402684563757E-4</v>
      </c>
      <c r="H6" s="104">
        <f>E6/'PAG100 FE GE'!$D$2</f>
        <v>0.22209999999999999</v>
      </c>
      <c r="I6" s="104">
        <f>F6/'PAG100 FE GE'!$D$3</f>
        <v>6.800000000000001E-6</v>
      </c>
      <c r="J6" s="106">
        <f>G6/'PAG100 FE GE'!$D$4</f>
        <v>4.3624161073825498E-7</v>
      </c>
      <c r="K6" s="111">
        <f>H6*'PAG100 FE GE'!$E$2+'FE DEFRA A1. Fuel Eq (2)'!I6*'PAG100 FE GE'!$E$3+J6*'PAG100 FE GE'!$E$4</f>
        <v>0.22240881395973153</v>
      </c>
      <c r="L6" s="111">
        <f>H6*'PAG20 FE GE'!$E$2+'FE DEFRA A1. Fuel Eq (2)'!I6*'PAG20 FE GE'!$E$3+J6*'PAG20 FE GE'!$E$4</f>
        <v>0.22277125395973152</v>
      </c>
      <c r="M6" s="111">
        <f>H6*'PAG100 FE GE'!$D$2+'FE DEFRA A1. Fuel Eq (2)'!I6*'PAG100 FE GE'!$D$3+J6*'PAG100 FE GE'!$D$4</f>
        <v>0.22240600402684563</v>
      </c>
      <c r="N6" s="111">
        <f>H6*'PAG20 FE GE'!$D$2+'FE DEFRA A1. Fuel Eq (2)'!I6*'PAG20 FE GE'!$D$3+J6*'PAG20 FE GE'!$D$4</f>
        <v>0.22279316778523489</v>
      </c>
      <c r="O6" s="111">
        <f>H6*'PAG100 FE GE'!$C$2+'FE DEFRA A1. Fuel Eq (2)'!I6*'PAG100 FE GE'!$C$3+J6*'PAG100 FE GE'!$C$4</f>
        <v>0.22239999999999999</v>
      </c>
      <c r="P6" s="112">
        <f>H6*'PAG20 FE GE'!$C$2+'FE DEFRA A1. Fuel Eq (2)'!I6*'PAG20 FE GE'!$C$3+J6*'PAG20 FE GE'!$C$4</f>
        <v>0.22271567382550336</v>
      </c>
      <c r="T6" s="95" t="s">
        <v>108</v>
      </c>
      <c r="U6" s="80" t="s">
        <v>44</v>
      </c>
      <c r="V6" s="96">
        <f>E19/E18</f>
        <v>0.52974945318515387</v>
      </c>
      <c r="W6" s="96" t="s">
        <v>464</v>
      </c>
      <c r="X6" s="136">
        <f>V6*1000</f>
        <v>529.74945318515393</v>
      </c>
      <c r="Y6" s="97" t="s">
        <v>466</v>
      </c>
    </row>
    <row r="7" spans="1:27" x14ac:dyDescent="0.25">
      <c r="A7" s="110" t="s">
        <v>108</v>
      </c>
      <c r="B7" s="103" t="s">
        <v>92</v>
      </c>
      <c r="C7" s="127" t="s">
        <v>131</v>
      </c>
      <c r="D7" s="205" t="str">
        <f t="shared" si="0"/>
        <v>GNC:tonnes</v>
      </c>
      <c r="E7" s="104">
        <v>2557.5300000000002</v>
      </c>
      <c r="F7" s="104">
        <v>3.8528000000000002</v>
      </c>
      <c r="G7" s="104">
        <v>1.1916107382550336</v>
      </c>
      <c r="H7" s="104">
        <f>E7/'PAG100 FE GE'!$D$2</f>
        <v>2557.5300000000002</v>
      </c>
      <c r="I7" s="104">
        <f>F7/'PAG100 FE GE'!$D$3</f>
        <v>0.1376</v>
      </c>
      <c r="J7" s="106">
        <f>G7/'PAG100 FE GE'!$D$4</f>
        <v>4.4966442953020139E-3</v>
      </c>
      <c r="K7" s="111">
        <f>H7*'PAG100 FE GE'!$E$2+'FE DEFRA A1. Fuel Eq (2)'!I7*'PAG100 FE GE'!$E$3+J7*'PAG100 FE GE'!$E$4</f>
        <v>2562.5966238926176</v>
      </c>
      <c r="L7" s="111">
        <f>H7*'PAG20 FE GE'!$E$2+'FE DEFRA A1. Fuel Eq (2)'!I7*'PAG20 FE GE'!$E$3+J7*'PAG20 FE GE'!$E$4</f>
        <v>2569.9307038926177</v>
      </c>
      <c r="M7" s="111">
        <f>H7*'PAG100 FE GE'!$D$2+'FE DEFRA A1. Fuel Eq (2)'!I7*'PAG100 FE GE'!$D$3+J7*'PAG100 FE GE'!$D$4</f>
        <v>2562.5744107382552</v>
      </c>
      <c r="N7" s="111">
        <f>H7*'PAG20 FE GE'!$D$2+'FE DEFRA A1. Fuel Eq (2)'!I7*'PAG20 FE GE'!$D$3+J7*'PAG20 FE GE'!$D$4</f>
        <v>2570.4131140939598</v>
      </c>
      <c r="O7" s="111">
        <f>H7*'PAG100 FE GE'!$C$2+'FE DEFRA A1. Fuel Eq (2)'!I7*'PAG100 FE GE'!$C$3+J7*'PAG100 FE GE'!$C$4</f>
        <v>2562.3100000000004</v>
      </c>
      <c r="P7" s="112">
        <f>H7*'PAG20 FE GE'!$C$2+'FE DEFRA A1. Fuel Eq (2)'!I7*'PAG20 FE GE'!$C$3+J7*'PAG20 FE GE'!$C$4</f>
        <v>2568.7367302013427</v>
      </c>
      <c r="T7" s="95" t="s">
        <v>108</v>
      </c>
      <c r="U7" s="80" t="s">
        <v>109</v>
      </c>
      <c r="V7" s="96">
        <f>E24/E23</f>
        <v>0.79544325970760843</v>
      </c>
      <c r="W7" s="96" t="s">
        <v>466</v>
      </c>
      <c r="X7" s="136">
        <f>V7</f>
        <v>0.79544325970760843</v>
      </c>
      <c r="Y7" s="97" t="s">
        <v>466</v>
      </c>
    </row>
    <row r="8" spans="1:27" x14ac:dyDescent="0.25">
      <c r="A8" s="110" t="s">
        <v>108</v>
      </c>
      <c r="B8" s="103" t="s">
        <v>92</v>
      </c>
      <c r="C8" s="127" t="s">
        <v>57</v>
      </c>
      <c r="D8" s="205" t="str">
        <f t="shared" si="0"/>
        <v>GNC:kg</v>
      </c>
      <c r="E8" s="104">
        <f>E7/1000</f>
        <v>2.5575300000000003</v>
      </c>
      <c r="F8" s="104">
        <f t="shared" ref="F8:G8" si="3">F7/1000</f>
        <v>3.8528000000000004E-3</v>
      </c>
      <c r="G8" s="104">
        <f t="shared" si="3"/>
        <v>1.1916107382550336E-3</v>
      </c>
      <c r="H8" s="104">
        <f>E8/'PAG100 FE GE'!$D$2</f>
        <v>2.5575300000000003</v>
      </c>
      <c r="I8" s="104">
        <f>F8/'PAG100 FE GE'!$D$3</f>
        <v>1.3760000000000001E-4</v>
      </c>
      <c r="J8" s="106">
        <f>G8/'PAG100 FE GE'!$D$4</f>
        <v>4.4966442953020135E-6</v>
      </c>
      <c r="K8" s="111">
        <f>H8*'PAG100 FE GE'!$E$2+'FE DEFRA A1. Fuel Eq (2)'!I8*'PAG100 FE GE'!$E$3+J8*'PAG100 FE GE'!$E$4</f>
        <v>2.5625966238926177</v>
      </c>
      <c r="L8" s="111">
        <f>H8*'PAG20 FE GE'!$E$2+'FE DEFRA A1. Fuel Eq (2)'!I8*'PAG20 FE GE'!$E$3+J8*'PAG20 FE GE'!$E$4</f>
        <v>2.5699307038926178</v>
      </c>
      <c r="M8" s="111">
        <f>H8*'PAG100 FE GE'!$D$2+'FE DEFRA A1. Fuel Eq (2)'!I8*'PAG100 FE GE'!$D$3+J8*'PAG100 FE GE'!$D$4</f>
        <v>2.5625744107382555</v>
      </c>
      <c r="N8" s="111">
        <f>H8*'PAG20 FE GE'!$D$2+'FE DEFRA A1. Fuel Eq (2)'!I8*'PAG20 FE GE'!$D$3+J8*'PAG20 FE GE'!$D$4</f>
        <v>2.5704131140939603</v>
      </c>
      <c r="O8" s="111">
        <f>H8*'PAG100 FE GE'!$C$2+'FE DEFRA A1. Fuel Eq (2)'!I8*'PAG100 FE GE'!$C$3+J8*'PAG100 FE GE'!$C$4</f>
        <v>2.5623100000000001</v>
      </c>
      <c r="P8" s="112">
        <f>H8*'PAG20 FE GE'!$C$2+'FE DEFRA A1. Fuel Eq (2)'!I8*'PAG20 FE GE'!$C$3+J8*'PAG20 FE GE'!$C$4</f>
        <v>2.5687367302013424</v>
      </c>
      <c r="T8" s="95" t="s">
        <v>108</v>
      </c>
      <c r="U8" s="80" t="s">
        <v>232</v>
      </c>
      <c r="V8" s="96">
        <f>E29/E28</f>
        <v>0.79544343290879882</v>
      </c>
      <c r="W8" s="96" t="s">
        <v>466</v>
      </c>
      <c r="X8" s="136">
        <f t="shared" ref="X8" si="4">V8</f>
        <v>0.79544343290879882</v>
      </c>
      <c r="Y8" s="97" t="s">
        <v>467</v>
      </c>
    </row>
    <row r="9" spans="1:27" x14ac:dyDescent="0.25">
      <c r="A9" s="110" t="s">
        <v>108</v>
      </c>
      <c r="B9" s="103" t="s">
        <v>92</v>
      </c>
      <c r="C9" s="127" t="s">
        <v>55</v>
      </c>
      <c r="D9" s="205" t="str">
        <f t="shared" si="0"/>
        <v>GNC:l</v>
      </c>
      <c r="E9" s="104">
        <v>0.44757000000000002</v>
      </c>
      <c r="F9" s="104">
        <v>6.7199999999999996E-4</v>
      </c>
      <c r="G9" s="104">
        <v>2.0453020134228187E-4</v>
      </c>
      <c r="H9" s="104">
        <f>E9/'PAG100 FE GE'!$D$2</f>
        <v>0.44757000000000002</v>
      </c>
      <c r="I9" s="104">
        <f>F9/'PAG100 FE GE'!$D$3</f>
        <v>2.3999999999999997E-5</v>
      </c>
      <c r="J9" s="106">
        <f>G9/'PAG100 FE GE'!$D$4</f>
        <v>7.7181208053691275E-7</v>
      </c>
      <c r="K9" s="111">
        <f>H9*'PAG100 FE GE'!$E$2+'FE DEFRA A1. Fuel Eq (2)'!I9*'PAG100 FE GE'!$E$3+J9*'PAG100 FE GE'!$E$4</f>
        <v>0.44845030469798658</v>
      </c>
      <c r="L9" s="111">
        <f>H9*'PAG20 FE GE'!$E$2+'FE DEFRA A1. Fuel Eq (2)'!I9*'PAG20 FE GE'!$E$3+J9*'PAG20 FE GE'!$E$4</f>
        <v>0.44972950469798656</v>
      </c>
      <c r="M9" s="111">
        <f>H9*'PAG100 FE GE'!$D$2+'FE DEFRA A1. Fuel Eq (2)'!I9*'PAG100 FE GE'!$D$3+J9*'PAG100 FE GE'!$D$4</f>
        <v>0.44844653020134229</v>
      </c>
      <c r="N9" s="111">
        <f>H9*'PAG20 FE GE'!$D$2+'FE DEFRA A1. Fuel Eq (2)'!I9*'PAG20 FE GE'!$D$3+J9*'PAG20 FE GE'!$D$4</f>
        <v>0.44981375838926174</v>
      </c>
      <c r="O9" s="111">
        <f>H9*'PAG100 FE GE'!$C$2+'FE DEFRA A1. Fuel Eq (2)'!I9*'PAG100 FE GE'!$C$3+J9*'PAG100 FE GE'!$C$4</f>
        <v>0.44840000000000002</v>
      </c>
      <c r="P9" s="112">
        <f>H9*'PAG20 FE GE'!$C$2+'FE DEFRA A1. Fuel Eq (2)'!I9*'PAG20 FE GE'!$C$3+J9*'PAG20 FE GE'!$C$4</f>
        <v>0.44952105369127521</v>
      </c>
      <c r="T9" s="95" t="s">
        <v>108</v>
      </c>
      <c r="U9" s="80" t="s">
        <v>233</v>
      </c>
      <c r="V9" s="96">
        <f>E34/E33</f>
        <v>0.51493285227500496</v>
      </c>
      <c r="W9" s="96" t="s">
        <v>464</v>
      </c>
      <c r="X9" s="136">
        <f t="shared" ref="X9:X13" si="5">V9*1000</f>
        <v>514.93285227500496</v>
      </c>
      <c r="Y9" s="97" t="s">
        <v>466</v>
      </c>
    </row>
    <row r="10" spans="1:27" x14ac:dyDescent="0.25">
      <c r="A10" s="110" t="s">
        <v>108</v>
      </c>
      <c r="B10" s="103" t="s">
        <v>92</v>
      </c>
      <c r="C10" s="127" t="s">
        <v>133</v>
      </c>
      <c r="D10" s="205" t="str">
        <f t="shared" si="0"/>
        <v>GNC:kWh (Net CV)</v>
      </c>
      <c r="E10" s="104">
        <v>0.20226</v>
      </c>
      <c r="F10" s="104">
        <v>3.1359999999999998E-4</v>
      </c>
      <c r="G10" s="104">
        <v>9.7818791946308734E-5</v>
      </c>
      <c r="H10" s="104">
        <f>E10/'PAG100 FE GE'!$D$2</f>
        <v>0.20226</v>
      </c>
      <c r="I10" s="104">
        <f>F10/'PAG100 FE GE'!$D$3</f>
        <v>1.1199999999999999E-5</v>
      </c>
      <c r="J10" s="106">
        <f>G10/'PAG100 FE GE'!$D$4</f>
        <v>3.6912751677852351E-7</v>
      </c>
      <c r="K10" s="111">
        <f>H10*'PAG100 FE GE'!$E$2+'FE DEFRA A1. Fuel Eq (2)'!I10*'PAG100 FE GE'!$E$3+J10*'PAG100 FE GE'!$E$4</f>
        <v>0.20267325181208054</v>
      </c>
      <c r="L10" s="111">
        <f>H10*'PAG20 FE GE'!$E$2+'FE DEFRA A1. Fuel Eq (2)'!I10*'PAG20 FE GE'!$E$3+J10*'PAG20 FE GE'!$E$4</f>
        <v>0.20327021181208055</v>
      </c>
      <c r="M10" s="111">
        <f>H10*'PAG100 FE GE'!$D$2+'FE DEFRA A1. Fuel Eq (2)'!I10*'PAG100 FE GE'!$D$3+J10*'PAG100 FE GE'!$D$4</f>
        <v>0.20267141879194631</v>
      </c>
      <c r="N10" s="111">
        <f>H10*'PAG20 FE GE'!$D$2+'FE DEFRA A1. Fuel Eq (2)'!I10*'PAG20 FE GE'!$D$3+J10*'PAG20 FE GE'!$D$4</f>
        <v>0.20330944966442954</v>
      </c>
      <c r="O10" s="111">
        <f>H10*'PAG100 FE GE'!$C$2+'FE DEFRA A1. Fuel Eq (2)'!I10*'PAG100 FE GE'!$C$3+J10*'PAG100 FE GE'!$C$4</f>
        <v>0.20265</v>
      </c>
      <c r="P10" s="112">
        <f>H10*'PAG20 FE GE'!$C$2+'FE DEFRA A1. Fuel Eq (2)'!I10*'PAG20 FE GE'!$C$3+J10*'PAG20 FE GE'!$C$4</f>
        <v>0.203173077852349</v>
      </c>
      <c r="T10" s="95" t="s">
        <v>119</v>
      </c>
      <c r="U10" s="80" t="s">
        <v>3</v>
      </c>
      <c r="V10" s="96">
        <f>E39/E38</f>
        <v>0.83283609168060957</v>
      </c>
      <c r="W10" s="96" t="s">
        <v>464</v>
      </c>
      <c r="X10" s="136">
        <f t="shared" si="5"/>
        <v>832.83609168060957</v>
      </c>
      <c r="Y10" s="97" t="s">
        <v>466</v>
      </c>
    </row>
    <row r="11" spans="1:27" x14ac:dyDescent="0.25">
      <c r="A11" s="110" t="s">
        <v>108</v>
      </c>
      <c r="B11" s="103" t="s">
        <v>92</v>
      </c>
      <c r="C11" s="127" t="s">
        <v>134</v>
      </c>
      <c r="D11" s="205" t="str">
        <f t="shared" si="0"/>
        <v>GNC:kWh (Gross CV)</v>
      </c>
      <c r="E11" s="104">
        <v>0.18256</v>
      </c>
      <c r="F11" s="104">
        <v>2.8000000000000003E-4</v>
      </c>
      <c r="G11" s="104">
        <v>8.8926174496644302E-5</v>
      </c>
      <c r="H11" s="104">
        <f>E11/'PAG100 FE GE'!$D$2</f>
        <v>0.18256</v>
      </c>
      <c r="I11" s="104">
        <f>F11/'PAG100 FE GE'!$D$3</f>
        <v>1.0000000000000001E-5</v>
      </c>
      <c r="J11" s="106">
        <f>G11/'PAG100 FE GE'!$D$4</f>
        <v>3.3557046979865772E-7</v>
      </c>
      <c r="K11" s="111">
        <f>H11*'PAG100 FE GE'!$E$2+'FE DEFRA A1. Fuel Eq (2)'!I11*'PAG100 FE GE'!$E$3+J11*'PAG100 FE GE'!$E$4</f>
        <v>0.18293061073825503</v>
      </c>
      <c r="L11" s="111">
        <f>H11*'PAG20 FE GE'!$E$2+'FE DEFRA A1. Fuel Eq (2)'!I11*'PAG20 FE GE'!$E$3+J11*'PAG20 FE GE'!$E$4</f>
        <v>0.18346361073825504</v>
      </c>
      <c r="M11" s="111">
        <f>H11*'PAG100 FE GE'!$D$2+'FE DEFRA A1. Fuel Eq (2)'!I11*'PAG100 FE GE'!$D$3+J11*'PAG100 FE GE'!$D$4</f>
        <v>0.18292892617449666</v>
      </c>
      <c r="N11" s="111">
        <f>H11*'PAG20 FE GE'!$D$2+'FE DEFRA A1. Fuel Eq (2)'!I11*'PAG20 FE GE'!$D$3+J11*'PAG20 FE GE'!$D$4</f>
        <v>0.18349859060402685</v>
      </c>
      <c r="O11" s="111">
        <f>H11*'PAG100 FE GE'!$C$2+'FE DEFRA A1. Fuel Eq (2)'!I11*'PAG100 FE GE'!$C$3+J11*'PAG100 FE GE'!$C$4</f>
        <v>0.18290999999999999</v>
      </c>
      <c r="P11" s="112">
        <f>H11*'PAG20 FE GE'!$C$2+'FE DEFRA A1. Fuel Eq (2)'!I11*'PAG20 FE GE'!$C$3+J11*'PAG20 FE GE'!$C$4</f>
        <v>0.18337697986577181</v>
      </c>
      <c r="T11" s="95" t="s">
        <v>119</v>
      </c>
      <c r="U11" s="80" t="s">
        <v>149</v>
      </c>
      <c r="V11" s="96">
        <f>E44/E43</f>
        <v>0.98328555705482557</v>
      </c>
      <c r="W11" s="96" t="s">
        <v>464</v>
      </c>
      <c r="X11" s="136">
        <f t="shared" si="5"/>
        <v>983.28555705482552</v>
      </c>
      <c r="Y11" s="97" t="s">
        <v>466</v>
      </c>
    </row>
    <row r="12" spans="1:27" x14ac:dyDescent="0.25">
      <c r="A12" s="110" t="s">
        <v>108</v>
      </c>
      <c r="B12" s="103" t="s">
        <v>95</v>
      </c>
      <c r="C12" s="127" t="s">
        <v>131</v>
      </c>
      <c r="D12" s="205" t="str">
        <f t="shared" si="0"/>
        <v>GNL:tonnes</v>
      </c>
      <c r="E12" s="104">
        <v>2576.94</v>
      </c>
      <c r="F12" s="104">
        <v>3.8528000000000002</v>
      </c>
      <c r="G12" s="104">
        <v>1.1916107382550336</v>
      </c>
      <c r="H12" s="104">
        <f>E12/'PAG100 FE GE'!$D$2</f>
        <v>2576.94</v>
      </c>
      <c r="I12" s="104">
        <f>F12/'PAG100 FE GE'!$D$3</f>
        <v>0.1376</v>
      </c>
      <c r="J12" s="106">
        <f>G12/'PAG100 FE GE'!$D$4</f>
        <v>4.4966442953020139E-3</v>
      </c>
      <c r="K12" s="111">
        <f>H12*'PAG100 FE GE'!$E$2+'FE DEFRA A1. Fuel Eq (2)'!I12*'PAG100 FE GE'!$E$3+J12*'PAG100 FE GE'!$E$4</f>
        <v>2582.0066238926174</v>
      </c>
      <c r="L12" s="111">
        <f>H12*'PAG20 FE GE'!$E$2+'FE DEFRA A1. Fuel Eq (2)'!I12*'PAG20 FE GE'!$E$3+J12*'PAG20 FE GE'!$E$4</f>
        <v>2589.3407038926175</v>
      </c>
      <c r="M12" s="111">
        <f>H12*'PAG100 FE GE'!$D$2+'FE DEFRA A1. Fuel Eq (2)'!I12*'PAG100 FE GE'!$D$3+J12*'PAG100 FE GE'!$D$4</f>
        <v>2581.9844107382551</v>
      </c>
      <c r="N12" s="111">
        <f>H12*'PAG20 FE GE'!$D$2+'FE DEFRA A1. Fuel Eq (2)'!I12*'PAG20 FE GE'!$D$3+J12*'PAG20 FE GE'!$D$4</f>
        <v>2589.8231140939597</v>
      </c>
      <c r="O12" s="111">
        <f>H12*'PAG100 FE GE'!$C$2+'FE DEFRA A1. Fuel Eq (2)'!I12*'PAG100 FE GE'!$C$3+J12*'PAG100 FE GE'!$C$4</f>
        <v>2581.7200000000003</v>
      </c>
      <c r="P12" s="112">
        <f>H12*'PAG20 FE GE'!$C$2+'FE DEFRA A1. Fuel Eq (2)'!I12*'PAG20 FE GE'!$C$3+J12*'PAG20 FE GE'!$C$4</f>
        <v>2588.1467302013425</v>
      </c>
      <c r="T12" s="95" t="s">
        <v>119</v>
      </c>
      <c r="U12" s="80" t="s">
        <v>150</v>
      </c>
      <c r="V12" s="96">
        <f>E49/E48</f>
        <v>0.85397178683385577</v>
      </c>
      <c r="W12" s="96" t="s">
        <v>464</v>
      </c>
      <c r="X12" s="136">
        <f t="shared" si="5"/>
        <v>853.97178683385573</v>
      </c>
      <c r="Y12" s="97" t="s">
        <v>466</v>
      </c>
    </row>
    <row r="13" spans="1:27" ht="15.75" thickBot="1" x14ac:dyDescent="0.3">
      <c r="A13" s="110" t="s">
        <v>108</v>
      </c>
      <c r="B13" s="103" t="s">
        <v>95</v>
      </c>
      <c r="C13" s="127" t="s">
        <v>57</v>
      </c>
      <c r="D13" s="205" t="str">
        <f t="shared" si="0"/>
        <v>GNL:kg</v>
      </c>
      <c r="E13" s="104">
        <f>E12/1000</f>
        <v>2.57694</v>
      </c>
      <c r="F13" s="104">
        <f t="shared" ref="F13:G13" si="6">F12/1000</f>
        <v>3.8528000000000004E-3</v>
      </c>
      <c r="G13" s="104">
        <f t="shared" si="6"/>
        <v>1.1916107382550336E-3</v>
      </c>
      <c r="H13" s="104">
        <f>E13/'PAG100 FE GE'!$D$2</f>
        <v>2.57694</v>
      </c>
      <c r="I13" s="104">
        <f>F13/'PAG100 FE GE'!$D$3</f>
        <v>1.3760000000000001E-4</v>
      </c>
      <c r="J13" s="106">
        <f>G13/'PAG100 FE GE'!$D$4</f>
        <v>4.4966442953020135E-6</v>
      </c>
      <c r="K13" s="111">
        <f>H13*'PAG100 FE GE'!$E$2+'FE DEFRA A1. Fuel Eq (2)'!I13*'PAG100 FE GE'!$E$3+J13*'PAG100 FE GE'!$E$4</f>
        <v>2.5820066238926174</v>
      </c>
      <c r="L13" s="111">
        <f>H13*'PAG20 FE GE'!$E$2+'FE DEFRA A1. Fuel Eq (2)'!I13*'PAG20 FE GE'!$E$3+J13*'PAG20 FE GE'!$E$4</f>
        <v>2.5893407038926175</v>
      </c>
      <c r="M13" s="111">
        <f>H13*'PAG100 FE GE'!$D$2+'FE DEFRA A1. Fuel Eq (2)'!I13*'PAG100 FE GE'!$D$3+J13*'PAG100 FE GE'!$D$4</f>
        <v>2.5819844107382552</v>
      </c>
      <c r="N13" s="111">
        <f>H13*'PAG20 FE GE'!$D$2+'FE DEFRA A1. Fuel Eq (2)'!I13*'PAG20 FE GE'!$D$3+J13*'PAG20 FE GE'!$D$4</f>
        <v>2.58982311409396</v>
      </c>
      <c r="O13" s="111">
        <f>H13*'PAG100 FE GE'!$C$2+'FE DEFRA A1. Fuel Eq (2)'!I13*'PAG100 FE GE'!$C$3+J13*'PAG100 FE GE'!$C$4</f>
        <v>2.5817199999999998</v>
      </c>
      <c r="P13" s="112">
        <f>H13*'PAG20 FE GE'!$C$2+'FE DEFRA A1. Fuel Eq (2)'!I13*'PAG20 FE GE'!$C$3+J13*'PAG20 FE GE'!$C$4</f>
        <v>2.5881467302013421</v>
      </c>
      <c r="T13" s="98" t="s">
        <v>119</v>
      </c>
      <c r="U13" s="99" t="s">
        <v>42</v>
      </c>
      <c r="V13" s="100">
        <f>E54/E53</f>
        <v>0.74734301076425891</v>
      </c>
      <c r="W13" s="100" t="s">
        <v>464</v>
      </c>
      <c r="X13" s="137">
        <f t="shared" si="5"/>
        <v>747.34301076425891</v>
      </c>
      <c r="Y13" s="101" t="s">
        <v>466</v>
      </c>
    </row>
    <row r="14" spans="1:27" x14ac:dyDescent="0.25">
      <c r="A14" s="110" t="s">
        <v>108</v>
      </c>
      <c r="B14" s="103" t="s">
        <v>95</v>
      </c>
      <c r="C14" s="127" t="s">
        <v>55</v>
      </c>
      <c r="D14" s="205" t="str">
        <f t="shared" si="0"/>
        <v>GNL:l</v>
      </c>
      <c r="E14" s="104">
        <v>1.16604</v>
      </c>
      <c r="F14" s="104">
        <v>1.7472000000000002E-3</v>
      </c>
      <c r="G14" s="104">
        <v>5.4244966442953014E-4</v>
      </c>
      <c r="H14" s="104">
        <f>E14/'PAG100 FE GE'!$D$2</f>
        <v>1.16604</v>
      </c>
      <c r="I14" s="104">
        <f>F14/'PAG100 FE GE'!$D$3</f>
        <v>6.2400000000000012E-5</v>
      </c>
      <c r="J14" s="106">
        <f>G14/'PAG100 FE GE'!$D$4</f>
        <v>2.0469798657718119E-6</v>
      </c>
      <c r="K14" s="111">
        <f>H14*'PAG100 FE GE'!$E$2+'FE DEFRA A1. Fuel Eq (2)'!I14*'PAG100 FE GE'!$E$3+J14*'PAG100 FE GE'!$E$4</f>
        <v>1.1683397855033557</v>
      </c>
      <c r="L14" s="111">
        <f>H14*'PAG20 FE GE'!$E$2+'FE DEFRA A1. Fuel Eq (2)'!I14*'PAG20 FE GE'!$E$3+J14*'PAG20 FE GE'!$E$4</f>
        <v>1.1716657055033557</v>
      </c>
      <c r="M14" s="111">
        <f>H14*'PAG100 FE GE'!$D$2+'FE DEFRA A1. Fuel Eq (2)'!I14*'PAG100 FE GE'!$D$3+J14*'PAG100 FE GE'!$D$4</f>
        <v>1.1683296496644295</v>
      </c>
      <c r="N14" s="111">
        <f>H14*'PAG20 FE GE'!$D$2+'FE DEFRA A1. Fuel Eq (2)'!I14*'PAG20 FE GE'!$D$3+J14*'PAG20 FE GE'!$D$4</f>
        <v>1.1718844026845636</v>
      </c>
      <c r="O14" s="111">
        <f>H14*'PAG100 FE GE'!$C$2+'FE DEFRA A1. Fuel Eq (2)'!I14*'PAG100 FE GE'!$C$3+J14*'PAG100 FE GE'!$C$4</f>
        <v>1.16821</v>
      </c>
      <c r="P14" s="112">
        <f>H14*'PAG20 FE GE'!$C$2+'FE DEFRA A1. Fuel Eq (2)'!I14*'PAG20 FE GE'!$C$3+J14*'PAG20 FE GE'!$C$4</f>
        <v>1.1711243771812079</v>
      </c>
    </row>
    <row r="15" spans="1:27" x14ac:dyDescent="0.25">
      <c r="A15" s="110" t="s">
        <v>108</v>
      </c>
      <c r="B15" s="103" t="s">
        <v>95</v>
      </c>
      <c r="C15" s="127" t="s">
        <v>133</v>
      </c>
      <c r="D15" s="205" t="str">
        <f t="shared" si="0"/>
        <v>GNL:kWh (Net CV)</v>
      </c>
      <c r="E15" s="102">
        <v>0.20379</v>
      </c>
      <c r="F15" s="104">
        <v>3.1359999999999998E-4</v>
      </c>
      <c r="G15" s="104">
        <v>9.7818791946308734E-5</v>
      </c>
      <c r="H15" s="104">
        <f>E15/'PAG100 FE GE'!$D$2</f>
        <v>0.20379</v>
      </c>
      <c r="I15" s="104">
        <f>F15/'PAG100 FE GE'!$D$3</f>
        <v>1.1199999999999999E-5</v>
      </c>
      <c r="J15" s="106">
        <f>G15/'PAG100 FE GE'!$D$4</f>
        <v>3.6912751677852351E-7</v>
      </c>
      <c r="K15" s="111">
        <f>H15*'PAG100 FE GE'!$E$2+'FE DEFRA A1. Fuel Eq (2)'!I15*'PAG100 FE GE'!$E$3+J15*'PAG100 FE GE'!$E$4</f>
        <v>0.20420325181208054</v>
      </c>
      <c r="L15" s="111">
        <f>H15*'PAG20 FE GE'!$E$2+'FE DEFRA A1. Fuel Eq (2)'!I15*'PAG20 FE GE'!$E$3+J15*'PAG20 FE GE'!$E$4</f>
        <v>0.20480021181208055</v>
      </c>
      <c r="M15" s="111">
        <f>H15*'PAG100 FE GE'!$D$2+'FE DEFRA A1. Fuel Eq (2)'!I15*'PAG100 FE GE'!$D$3+J15*'PAG100 FE GE'!$D$4</f>
        <v>0.20420141879194631</v>
      </c>
      <c r="N15" s="111">
        <f>H15*'PAG20 FE GE'!$D$2+'FE DEFRA A1. Fuel Eq (2)'!I15*'PAG20 FE GE'!$D$3+J15*'PAG20 FE GE'!$D$4</f>
        <v>0.20483944966442955</v>
      </c>
      <c r="O15" s="111">
        <f>H15*'PAG100 FE GE'!$C$2+'FE DEFRA A1. Fuel Eq (2)'!I15*'PAG100 FE GE'!$C$3+J15*'PAG100 FE GE'!$C$4</f>
        <v>0.20418</v>
      </c>
      <c r="P15" s="112">
        <f>H15*'PAG20 FE GE'!$C$2+'FE DEFRA A1. Fuel Eq (2)'!I15*'PAG20 FE GE'!$C$3+J15*'PAG20 FE GE'!$C$4</f>
        <v>0.20470307785234901</v>
      </c>
    </row>
    <row r="16" spans="1:27" x14ac:dyDescent="0.25">
      <c r="A16" s="110" t="s">
        <v>108</v>
      </c>
      <c r="B16" s="103" t="s">
        <v>95</v>
      </c>
      <c r="C16" s="127" t="s">
        <v>134</v>
      </c>
      <c r="D16" s="205" t="str">
        <f t="shared" si="0"/>
        <v>GNL:kWh (Gross CV)</v>
      </c>
      <c r="E16" s="104">
        <v>0.18395</v>
      </c>
      <c r="F16" s="104">
        <v>2.8000000000000003E-4</v>
      </c>
      <c r="G16" s="104">
        <v>8.8926174496644302E-5</v>
      </c>
      <c r="H16" s="104">
        <f>E16/'PAG100 FE GE'!$D$2</f>
        <v>0.18395</v>
      </c>
      <c r="I16" s="104">
        <f>F16/'PAG100 FE GE'!$D$3</f>
        <v>1.0000000000000001E-5</v>
      </c>
      <c r="J16" s="106">
        <f>G16/'PAG100 FE GE'!$D$4</f>
        <v>3.3557046979865772E-7</v>
      </c>
      <c r="K16" s="111">
        <f>H16*'PAG100 FE GE'!$E$2+'FE DEFRA A1. Fuel Eq (2)'!I16*'PAG100 FE GE'!$E$3+J16*'PAG100 FE GE'!$E$4</f>
        <v>0.18432061073825504</v>
      </c>
      <c r="L16" s="111">
        <f>H16*'PAG20 FE GE'!$E$2+'FE DEFRA A1. Fuel Eq (2)'!I16*'PAG20 FE GE'!$E$3+J16*'PAG20 FE GE'!$E$4</f>
        <v>0.18485361073825504</v>
      </c>
      <c r="M16" s="111">
        <f>H16*'PAG100 FE GE'!$D$2+'FE DEFRA A1. Fuel Eq (2)'!I16*'PAG100 FE GE'!$D$3+J16*'PAG100 FE GE'!$D$4</f>
        <v>0.18431892617449666</v>
      </c>
      <c r="N16" s="111">
        <f>H16*'PAG20 FE GE'!$D$2+'FE DEFRA A1. Fuel Eq (2)'!I16*'PAG20 FE GE'!$D$3+J16*'PAG20 FE GE'!$D$4</f>
        <v>0.18488859060402685</v>
      </c>
      <c r="O16" s="111">
        <f>H16*'PAG100 FE GE'!$C$2+'FE DEFRA A1. Fuel Eq (2)'!I16*'PAG100 FE GE'!$C$3+J16*'PAG100 FE GE'!$C$4</f>
        <v>0.18429999999999999</v>
      </c>
      <c r="P16" s="112">
        <f>H16*'PAG20 FE GE'!$C$2+'FE DEFRA A1. Fuel Eq (2)'!I16*'PAG20 FE GE'!$C$3+J16*'PAG20 FE GE'!$C$4</f>
        <v>0.18476697986577181</v>
      </c>
    </row>
    <row r="17" spans="1:16" x14ac:dyDescent="0.25">
      <c r="A17" s="110" t="s">
        <v>108</v>
      </c>
      <c r="B17" s="103" t="s">
        <v>44</v>
      </c>
      <c r="C17" s="127" t="s">
        <v>131</v>
      </c>
      <c r="D17" s="205" t="str">
        <f t="shared" si="0"/>
        <v>GPL:tonnes</v>
      </c>
      <c r="E17" s="104">
        <v>2935.18</v>
      </c>
      <c r="F17" s="104">
        <v>2.5535999999999999</v>
      </c>
      <c r="G17" s="104">
        <v>1.6273489932885907</v>
      </c>
      <c r="H17" s="104">
        <f>E17/'PAG100 FE GE'!$D$2</f>
        <v>2935.18</v>
      </c>
      <c r="I17" s="104">
        <f>F17/'PAG100 FE GE'!$D$3</f>
        <v>9.1199999999999989E-2</v>
      </c>
      <c r="J17" s="106">
        <f>G17/'PAG100 FE GE'!$D$4</f>
        <v>6.1409395973154365E-3</v>
      </c>
      <c r="K17" s="111">
        <f>H17*'PAG100 FE GE'!$E$2+'FE DEFRA A1. Fuel Eq (2)'!I17*'PAG100 FE GE'!$E$3+J17*'PAG100 FE GE'!$E$4</f>
        <v>2939.4009565100669</v>
      </c>
      <c r="L17" s="111">
        <f>H17*'PAG20 FE GE'!$E$2+'FE DEFRA A1. Fuel Eq (2)'!I17*'PAG20 FE GE'!$E$3+J17*'PAG20 FE GE'!$E$4</f>
        <v>2944.2619165100668</v>
      </c>
      <c r="M17" s="111">
        <f>H17*'PAG100 FE GE'!$D$2+'FE DEFRA A1. Fuel Eq (2)'!I17*'PAG100 FE GE'!$D$3+J17*'PAG100 FE GE'!$D$4</f>
        <v>2939.3609489932887</v>
      </c>
      <c r="N17" s="111">
        <f>H17*'PAG20 FE GE'!$D$2+'FE DEFRA A1. Fuel Eq (2)'!I17*'PAG20 FE GE'!$D$3+J17*'PAG20 FE GE'!$D$4</f>
        <v>2944.5532080536909</v>
      </c>
      <c r="O17" s="111">
        <f>H17*'PAG100 FE GE'!$C$2+'FE DEFRA A1. Fuel Eq (2)'!I17*'PAG100 FE GE'!$C$3+J17*'PAG100 FE GE'!$C$4</f>
        <v>2939.29</v>
      </c>
      <c r="P17" s="112">
        <f>H17*'PAG20 FE GE'!$C$2+'FE DEFRA A1. Fuel Eq (2)'!I17*'PAG20 FE GE'!$C$3+J17*'PAG20 FE GE'!$C$4</f>
        <v>2943.5211315436241</v>
      </c>
    </row>
    <row r="18" spans="1:16" x14ac:dyDescent="0.25">
      <c r="A18" s="110" t="s">
        <v>108</v>
      </c>
      <c r="B18" s="103" t="s">
        <v>44</v>
      </c>
      <c r="C18" s="127" t="s">
        <v>57</v>
      </c>
      <c r="D18" s="205" t="str">
        <f t="shared" si="0"/>
        <v>GPL:kg</v>
      </c>
      <c r="E18" s="104">
        <f>E17/1000</f>
        <v>2.9351799999999999</v>
      </c>
      <c r="F18" s="104">
        <f t="shared" ref="F18:G18" si="7">F17/1000</f>
        <v>2.5536000000000001E-3</v>
      </c>
      <c r="G18" s="104">
        <f t="shared" si="7"/>
        <v>1.6273489932885907E-3</v>
      </c>
      <c r="H18" s="104">
        <f>E18/'PAG100 FE GE'!$D$2</f>
        <v>2.9351799999999999</v>
      </c>
      <c r="I18" s="104">
        <f>F18/'PAG100 FE GE'!$D$3</f>
        <v>9.1200000000000008E-5</v>
      </c>
      <c r="J18" s="106">
        <f>G18/'PAG100 FE GE'!$D$4</f>
        <v>6.1409395973154371E-6</v>
      </c>
      <c r="K18" s="111">
        <f>H18*'PAG100 FE GE'!$E$2+'FE DEFRA A1. Fuel Eq (2)'!I18*'PAG100 FE GE'!$E$3+J18*'PAG100 FE GE'!$E$4</f>
        <v>2.9394009565100672</v>
      </c>
      <c r="L18" s="111">
        <f>H18*'PAG20 FE GE'!$E$2+'FE DEFRA A1. Fuel Eq (2)'!I18*'PAG20 FE GE'!$E$3+J18*'PAG20 FE GE'!$E$4</f>
        <v>2.944261916510067</v>
      </c>
      <c r="M18" s="111">
        <f>H18*'PAG100 FE GE'!$D$2+'FE DEFRA A1. Fuel Eq (2)'!I18*'PAG100 FE GE'!$D$3+J18*'PAG100 FE GE'!$D$4</f>
        <v>2.9393609489932886</v>
      </c>
      <c r="N18" s="111">
        <f>H18*'PAG20 FE GE'!$D$2+'FE DEFRA A1. Fuel Eq (2)'!I18*'PAG20 FE GE'!$D$3+J18*'PAG20 FE GE'!$D$4</f>
        <v>2.9445532080536911</v>
      </c>
      <c r="O18" s="111">
        <f>H18*'PAG100 FE GE'!$C$2+'FE DEFRA A1. Fuel Eq (2)'!I18*'PAG100 FE GE'!$C$3+J18*'PAG100 FE GE'!$C$4</f>
        <v>2.9392899999999997</v>
      </c>
      <c r="P18" s="112">
        <f>H18*'PAG20 FE GE'!$C$2+'FE DEFRA A1. Fuel Eq (2)'!I18*'PAG20 FE GE'!$C$3+J18*'PAG20 FE GE'!$C$4</f>
        <v>2.943521131543624</v>
      </c>
    </row>
    <row r="19" spans="1:16" x14ac:dyDescent="0.25">
      <c r="A19" s="110" t="s">
        <v>108</v>
      </c>
      <c r="B19" s="103" t="s">
        <v>44</v>
      </c>
      <c r="C19" s="127" t="s">
        <v>55</v>
      </c>
      <c r="D19" s="205" t="str">
        <f t="shared" si="0"/>
        <v>GPL:l</v>
      </c>
      <c r="E19" s="104">
        <v>1.55491</v>
      </c>
      <c r="F19" s="104">
        <v>1.3552E-3</v>
      </c>
      <c r="G19" s="104">
        <v>8.6258389261744967E-4</v>
      </c>
      <c r="H19" s="104">
        <f>E19/'PAG100 FE GE'!$D$2</f>
        <v>1.55491</v>
      </c>
      <c r="I19" s="104">
        <f>F19/'PAG100 FE GE'!$D$3</f>
        <v>4.8399999999999997E-5</v>
      </c>
      <c r="J19" s="106">
        <f>G19/'PAG100 FE GE'!$D$4</f>
        <v>3.2550335570469801E-6</v>
      </c>
      <c r="K19" s="111">
        <f>H19*'PAG100 FE GE'!$E$2+'FE DEFRA A1. Fuel Eq (2)'!I19*'PAG100 FE GE'!$E$3+J19*'PAG100 FE GE'!$E$4</f>
        <v>1.5571489841610739</v>
      </c>
      <c r="L19" s="111">
        <f>H19*'PAG20 FE GE'!$E$2+'FE DEFRA A1. Fuel Eq (2)'!I19*'PAG20 FE GE'!$E$3+J19*'PAG20 FE GE'!$E$4</f>
        <v>1.5597287041610739</v>
      </c>
      <c r="M19" s="111">
        <f>H19*'PAG100 FE GE'!$D$2+'FE DEFRA A1. Fuel Eq (2)'!I19*'PAG100 FE GE'!$D$3+J19*'PAG100 FE GE'!$D$4</f>
        <v>1.5571277838926174</v>
      </c>
      <c r="N19" s="111">
        <f>H19*'PAG20 FE GE'!$D$2+'FE DEFRA A1. Fuel Eq (2)'!I19*'PAG20 FE GE'!$D$3+J19*'PAG20 FE GE'!$D$4</f>
        <v>1.5598833288590603</v>
      </c>
      <c r="O19" s="111">
        <f>H19*'PAG100 FE GE'!$C$2+'FE DEFRA A1. Fuel Eq (2)'!I19*'PAG100 FE GE'!$C$3+J19*'PAG100 FE GE'!$C$4</f>
        <v>1.5570899999999999</v>
      </c>
      <c r="P19" s="112">
        <f>H19*'PAG20 FE GE'!$C$2+'FE DEFRA A1. Fuel Eq (2)'!I19*'PAG20 FE GE'!$C$3+J19*'PAG20 FE GE'!$C$4</f>
        <v>1.5593355046979867</v>
      </c>
    </row>
    <row r="20" spans="1:16" x14ac:dyDescent="0.25">
      <c r="A20" s="110" t="s">
        <v>108</v>
      </c>
      <c r="B20" s="103" t="s">
        <v>44</v>
      </c>
      <c r="C20" s="127" t="s">
        <v>133</v>
      </c>
      <c r="D20" s="205" t="str">
        <f t="shared" si="0"/>
        <v>GPL:kWh (Net CV)</v>
      </c>
      <c r="E20" s="104">
        <v>0.22999</v>
      </c>
      <c r="F20" s="104">
        <v>2.0160000000000002E-4</v>
      </c>
      <c r="G20" s="104">
        <v>1.2449664429530201E-4</v>
      </c>
      <c r="H20" s="104">
        <f>E20/'PAG100 FE GE'!$D$2</f>
        <v>0.22999</v>
      </c>
      <c r="I20" s="104">
        <f>F20/'PAG100 FE GE'!$D$3</f>
        <v>7.2000000000000005E-6</v>
      </c>
      <c r="J20" s="106">
        <f>G20/'PAG100 FE GE'!$D$4</f>
        <v>4.6979865771812082E-7</v>
      </c>
      <c r="K20" s="111">
        <f>H20*'PAG100 FE GE'!$E$2+'FE DEFRA A1. Fuel Eq (2)'!I20*'PAG100 FE GE'!$E$3+J20*'PAG100 FE GE'!$E$4</f>
        <v>0.23031913503355703</v>
      </c>
      <c r="L20" s="111">
        <f>H20*'PAG20 FE GE'!$E$2+'FE DEFRA A1. Fuel Eq (2)'!I20*'PAG20 FE GE'!$E$3+J20*'PAG20 FE GE'!$E$4</f>
        <v>0.23070289503355704</v>
      </c>
      <c r="M20" s="111">
        <f>H20*'PAG100 FE GE'!$D$2+'FE DEFRA A1. Fuel Eq (2)'!I20*'PAG100 FE GE'!$D$3+J20*'PAG100 FE GE'!$D$4</f>
        <v>0.23031609664429531</v>
      </c>
      <c r="N20" s="111">
        <f>H20*'PAG20 FE GE'!$D$2+'FE DEFRA A1. Fuel Eq (2)'!I20*'PAG20 FE GE'!$D$3+J20*'PAG20 FE GE'!$D$4</f>
        <v>0.23072602684563759</v>
      </c>
      <c r="O20" s="111">
        <f>H20*'PAG100 FE GE'!$C$2+'FE DEFRA A1. Fuel Eq (2)'!I20*'PAG100 FE GE'!$C$3+J20*'PAG100 FE GE'!$C$4</f>
        <v>0.23031000000000001</v>
      </c>
      <c r="P20" s="112">
        <f>H20*'PAG20 FE GE'!$C$2+'FE DEFRA A1. Fuel Eq (2)'!I20*'PAG20 FE GE'!$C$3+J20*'PAG20 FE GE'!$C$4</f>
        <v>0.23064417181208055</v>
      </c>
    </row>
    <row r="21" spans="1:16" x14ac:dyDescent="0.25">
      <c r="A21" s="110" t="s">
        <v>108</v>
      </c>
      <c r="B21" s="103" t="s">
        <v>44</v>
      </c>
      <c r="C21" s="127" t="s">
        <v>134</v>
      </c>
      <c r="D21" s="205" t="str">
        <f t="shared" si="0"/>
        <v>GPL:kWh (Gross CV)</v>
      </c>
      <c r="E21" s="104">
        <v>0.21418999999999999</v>
      </c>
      <c r="F21" s="104">
        <v>1.9040000000000002E-4</v>
      </c>
      <c r="G21" s="104">
        <v>1.1560402684563757E-4</v>
      </c>
      <c r="H21" s="104">
        <f>E21/'PAG100 FE GE'!$D$2</f>
        <v>0.21418999999999999</v>
      </c>
      <c r="I21" s="104">
        <f>F21/'PAG100 FE GE'!$D$3</f>
        <v>6.800000000000001E-6</v>
      </c>
      <c r="J21" s="106">
        <f>G21/'PAG100 FE GE'!$D$4</f>
        <v>4.3624161073825498E-7</v>
      </c>
      <c r="K21" s="111">
        <f>H21*'PAG100 FE GE'!$E$2+'FE DEFRA A1. Fuel Eq (2)'!I21*'PAG100 FE GE'!$E$3+J21*'PAG100 FE GE'!$E$4</f>
        <v>0.21449881395973153</v>
      </c>
      <c r="L21" s="111">
        <f>H21*'PAG20 FE GE'!$E$2+'FE DEFRA A1. Fuel Eq (2)'!I21*'PAG20 FE GE'!$E$3+J21*'PAG20 FE GE'!$E$4</f>
        <v>0.21486125395973152</v>
      </c>
      <c r="M21" s="111">
        <f>H21*'PAG100 FE GE'!$D$2+'FE DEFRA A1. Fuel Eq (2)'!I21*'PAG100 FE GE'!$D$3+J21*'PAG100 FE GE'!$D$4</f>
        <v>0.21449600402684563</v>
      </c>
      <c r="N21" s="111">
        <f>H21*'PAG20 FE GE'!$D$2+'FE DEFRA A1. Fuel Eq (2)'!I21*'PAG20 FE GE'!$D$3+J21*'PAG20 FE GE'!$D$4</f>
        <v>0.21488316778523489</v>
      </c>
      <c r="O21" s="111">
        <f>H21*'PAG100 FE GE'!$C$2+'FE DEFRA A1. Fuel Eq (2)'!I21*'PAG100 FE GE'!$C$3+J21*'PAG100 FE GE'!$C$4</f>
        <v>0.21448999999999999</v>
      </c>
      <c r="P21" s="112">
        <f>H21*'PAG20 FE GE'!$C$2+'FE DEFRA A1. Fuel Eq (2)'!I21*'PAG20 FE GE'!$C$3+J21*'PAG20 FE GE'!$C$4</f>
        <v>0.21480567382550336</v>
      </c>
    </row>
    <row r="22" spans="1:16" x14ac:dyDescent="0.25">
      <c r="A22" s="110" t="s">
        <v>108</v>
      </c>
      <c r="B22" s="103" t="s">
        <v>109</v>
      </c>
      <c r="C22" s="127" t="s">
        <v>131</v>
      </c>
      <c r="D22" s="205" t="str">
        <f t="shared" si="0"/>
        <v>GN:tonnes</v>
      </c>
      <c r="E22" s="104">
        <v>2557.5300000000002</v>
      </c>
      <c r="F22" s="104">
        <v>3.8528000000000002</v>
      </c>
      <c r="G22" s="104">
        <v>1.1916107382550336</v>
      </c>
      <c r="H22" s="104">
        <f>E22/'PAG100 FE GE'!$D$2</f>
        <v>2557.5300000000002</v>
      </c>
      <c r="I22" s="104">
        <f>F22/'PAG100 FE GE'!$D$3</f>
        <v>0.1376</v>
      </c>
      <c r="J22" s="106">
        <f>G22/'PAG100 FE GE'!$D$4</f>
        <v>4.4966442953020139E-3</v>
      </c>
      <c r="K22" s="111">
        <f>H22*'PAG100 FE GE'!$E$2+'FE DEFRA A1. Fuel Eq (2)'!I22*'PAG100 FE GE'!$E$3+J22*'PAG100 FE GE'!$E$4</f>
        <v>2562.5966238926176</v>
      </c>
      <c r="L22" s="111">
        <f>H22*'PAG20 FE GE'!$E$2+'FE DEFRA A1. Fuel Eq (2)'!I22*'PAG20 FE GE'!$E$3+J22*'PAG20 FE GE'!$E$4</f>
        <v>2569.9307038926177</v>
      </c>
      <c r="M22" s="111">
        <f>H22*'PAG100 FE GE'!$D$2+'FE DEFRA A1. Fuel Eq (2)'!I22*'PAG100 FE GE'!$D$3+J22*'PAG100 FE GE'!$D$4</f>
        <v>2562.5744107382552</v>
      </c>
      <c r="N22" s="111">
        <f>H22*'PAG20 FE GE'!$D$2+'FE DEFRA A1. Fuel Eq (2)'!I22*'PAG20 FE GE'!$D$3+J22*'PAG20 FE GE'!$D$4</f>
        <v>2570.4131140939598</v>
      </c>
      <c r="O22" s="111">
        <f>H22*'PAG100 FE GE'!$C$2+'FE DEFRA A1. Fuel Eq (2)'!I22*'PAG100 FE GE'!$C$3+J22*'PAG100 FE GE'!$C$4</f>
        <v>2562.3100000000004</v>
      </c>
      <c r="P22" s="112">
        <f>H22*'PAG20 FE GE'!$C$2+'FE DEFRA A1. Fuel Eq (2)'!I22*'PAG20 FE GE'!$C$3+J22*'PAG20 FE GE'!$C$4</f>
        <v>2568.7367302013427</v>
      </c>
    </row>
    <row r="23" spans="1:16" x14ac:dyDescent="0.25">
      <c r="A23" s="110" t="s">
        <v>108</v>
      </c>
      <c r="B23" s="103" t="s">
        <v>109</v>
      </c>
      <c r="C23" s="127" t="s">
        <v>57</v>
      </c>
      <c r="D23" s="205" t="str">
        <f t="shared" si="0"/>
        <v>GN:kg</v>
      </c>
      <c r="E23" s="104">
        <f>E22/1000</f>
        <v>2.5575300000000003</v>
      </c>
      <c r="F23" s="104">
        <f t="shared" ref="F23:G23" si="8">F22/1000</f>
        <v>3.8528000000000004E-3</v>
      </c>
      <c r="G23" s="104">
        <f t="shared" si="8"/>
        <v>1.1916107382550336E-3</v>
      </c>
      <c r="H23" s="104">
        <f>E23/'PAG100 FE GE'!$D$2</f>
        <v>2.5575300000000003</v>
      </c>
      <c r="I23" s="104">
        <f>F23/'PAG100 FE GE'!$D$3</f>
        <v>1.3760000000000001E-4</v>
      </c>
      <c r="J23" s="106">
        <f>G23/'PAG100 FE GE'!$D$4</f>
        <v>4.4966442953020135E-6</v>
      </c>
      <c r="K23" s="111">
        <f>H23*'PAG100 FE GE'!$E$2+'FE DEFRA A1. Fuel Eq (2)'!I23*'PAG100 FE GE'!$E$3+J23*'PAG100 FE GE'!$E$4</f>
        <v>2.5625966238926177</v>
      </c>
      <c r="L23" s="111">
        <f>H23*'PAG20 FE GE'!$E$2+'FE DEFRA A1. Fuel Eq (2)'!I23*'PAG20 FE GE'!$E$3+J23*'PAG20 FE GE'!$E$4</f>
        <v>2.5699307038926178</v>
      </c>
      <c r="M23" s="111">
        <f>H23*'PAG100 FE GE'!$D$2+'FE DEFRA A1. Fuel Eq (2)'!I23*'PAG100 FE GE'!$D$3+J23*'PAG100 FE GE'!$D$4</f>
        <v>2.5625744107382555</v>
      </c>
      <c r="N23" s="111">
        <f>H23*'PAG20 FE GE'!$D$2+'FE DEFRA A1. Fuel Eq (2)'!I23*'PAG20 FE GE'!$D$3+J23*'PAG20 FE GE'!$D$4</f>
        <v>2.5704131140939603</v>
      </c>
      <c r="O23" s="111">
        <f>H23*'PAG100 FE GE'!$C$2+'FE DEFRA A1. Fuel Eq (2)'!I23*'PAG100 FE GE'!$C$3+J23*'PAG100 FE GE'!$C$4</f>
        <v>2.5623100000000001</v>
      </c>
      <c r="P23" s="112">
        <f>H23*'PAG20 FE GE'!$C$2+'FE DEFRA A1. Fuel Eq (2)'!I23*'PAG20 FE GE'!$C$3+J23*'PAG20 FE GE'!$C$4</f>
        <v>2.5687367302013424</v>
      </c>
    </row>
    <row r="24" spans="1:16" x14ac:dyDescent="0.25">
      <c r="A24" s="110" t="s">
        <v>108</v>
      </c>
      <c r="B24" s="103" t="s">
        <v>109</v>
      </c>
      <c r="C24" s="127" t="s">
        <v>461</v>
      </c>
      <c r="D24" s="205" t="str">
        <f t="shared" si="0"/>
        <v>GN:m3</v>
      </c>
      <c r="E24" s="104">
        <v>2.03437</v>
      </c>
      <c r="F24" s="104">
        <v>3.0688E-3</v>
      </c>
      <c r="G24" s="104">
        <v>9.5151006711409393E-4</v>
      </c>
      <c r="H24" s="104">
        <f>E24/'PAG100 FE GE'!$D$2</f>
        <v>2.03437</v>
      </c>
      <c r="I24" s="104">
        <f>F24/'PAG100 FE GE'!$D$3</f>
        <v>1.0959999999999999E-4</v>
      </c>
      <c r="J24" s="106">
        <f>G24/'PAG100 FE GE'!$D$4</f>
        <v>3.5906040268456374E-6</v>
      </c>
      <c r="K24" s="111">
        <f>H24*'PAG100 FE GE'!$E$2+'FE DEFRA A1. Fuel Eq (2)'!I24*'PAG100 FE GE'!$E$3+J24*'PAG100 FE GE'!$E$4</f>
        <v>2.038408074899329</v>
      </c>
      <c r="L24" s="111">
        <f>H24*'PAG20 FE GE'!$E$2+'FE DEFRA A1. Fuel Eq (2)'!I24*'PAG20 FE GE'!$E$3+J24*'PAG20 FE GE'!$E$4</f>
        <v>2.044249754899329</v>
      </c>
      <c r="M24" s="111">
        <f>H24*'PAG100 FE GE'!$D$2+'FE DEFRA A1. Fuel Eq (2)'!I24*'PAG100 FE GE'!$D$3+J24*'PAG100 FE GE'!$D$4</f>
        <v>2.0383903100671139</v>
      </c>
      <c r="N24" s="111">
        <f>H24*'PAG20 FE GE'!$D$2+'FE DEFRA A1. Fuel Eq (2)'!I24*'PAG20 FE GE'!$D$3+J24*'PAG20 FE GE'!$D$4</f>
        <v>2.0446339194630871</v>
      </c>
      <c r="O24" s="111">
        <f>H24*'PAG100 FE GE'!$C$2+'FE DEFRA A1. Fuel Eq (2)'!I24*'PAG100 FE GE'!$C$3+J24*'PAG100 FE GE'!$C$4</f>
        <v>2.0381800000000001</v>
      </c>
      <c r="P24" s="112">
        <f>H24*'PAG20 FE GE'!$C$2+'FE DEFRA A1. Fuel Eq (2)'!I24*'PAG20 FE GE'!$C$3+J24*'PAG20 FE GE'!$C$4</f>
        <v>2.0432988845637583</v>
      </c>
    </row>
    <row r="25" spans="1:16" x14ac:dyDescent="0.25">
      <c r="A25" s="110" t="s">
        <v>108</v>
      </c>
      <c r="B25" s="103" t="s">
        <v>109</v>
      </c>
      <c r="C25" s="127" t="s">
        <v>133</v>
      </c>
      <c r="D25" s="205" t="str">
        <f t="shared" si="0"/>
        <v>GN:kWh (Net CV)</v>
      </c>
      <c r="E25" s="104">
        <v>0.20226</v>
      </c>
      <c r="F25" s="104">
        <v>3.1359999999999998E-4</v>
      </c>
      <c r="G25" s="104">
        <v>9.7818791946308734E-5</v>
      </c>
      <c r="H25" s="104">
        <f>E25/'PAG100 FE GE'!$D$2</f>
        <v>0.20226</v>
      </c>
      <c r="I25" s="104">
        <f>F25/'PAG100 FE GE'!$D$3</f>
        <v>1.1199999999999999E-5</v>
      </c>
      <c r="J25" s="106">
        <f>G25/'PAG100 FE GE'!$D$4</f>
        <v>3.6912751677852351E-7</v>
      </c>
      <c r="K25" s="111">
        <f>H25*'PAG100 FE GE'!$E$2+'FE DEFRA A1. Fuel Eq (2)'!I25*'PAG100 FE GE'!$E$3+J25*'PAG100 FE GE'!$E$4</f>
        <v>0.20267325181208054</v>
      </c>
      <c r="L25" s="111">
        <f>H25*'PAG20 FE GE'!$E$2+'FE DEFRA A1. Fuel Eq (2)'!I25*'PAG20 FE GE'!$E$3+J25*'PAG20 FE GE'!$E$4</f>
        <v>0.20327021181208055</v>
      </c>
      <c r="M25" s="111">
        <f>H25*'PAG100 FE GE'!$D$2+'FE DEFRA A1. Fuel Eq (2)'!I25*'PAG100 FE GE'!$D$3+J25*'PAG100 FE GE'!$D$4</f>
        <v>0.20267141879194631</v>
      </c>
      <c r="N25" s="111">
        <f>H25*'PAG20 FE GE'!$D$2+'FE DEFRA A1. Fuel Eq (2)'!I25*'PAG20 FE GE'!$D$3+J25*'PAG20 FE GE'!$D$4</f>
        <v>0.20330944966442954</v>
      </c>
      <c r="O25" s="111">
        <f>H25*'PAG100 FE GE'!$C$2+'FE DEFRA A1. Fuel Eq (2)'!I25*'PAG100 FE GE'!$C$3+J25*'PAG100 FE GE'!$C$4</f>
        <v>0.20265</v>
      </c>
      <c r="P25" s="112">
        <f>H25*'PAG20 FE GE'!$C$2+'FE DEFRA A1. Fuel Eq (2)'!I25*'PAG20 FE GE'!$C$3+J25*'PAG20 FE GE'!$C$4</f>
        <v>0.203173077852349</v>
      </c>
    </row>
    <row r="26" spans="1:16" x14ac:dyDescent="0.25">
      <c r="A26" s="110" t="s">
        <v>108</v>
      </c>
      <c r="B26" s="103" t="s">
        <v>109</v>
      </c>
      <c r="C26" s="127" t="s">
        <v>134</v>
      </c>
      <c r="D26" s="205" t="str">
        <f t="shared" si="0"/>
        <v>GN:kWh (Gross CV)</v>
      </c>
      <c r="E26" s="104">
        <v>0.18256</v>
      </c>
      <c r="F26" s="104">
        <v>2.8000000000000003E-4</v>
      </c>
      <c r="G26" s="104">
        <v>8.8926174496644302E-5</v>
      </c>
      <c r="H26" s="104">
        <f>E26/'PAG100 FE GE'!$D$2</f>
        <v>0.18256</v>
      </c>
      <c r="I26" s="104">
        <f>F26/'PAG100 FE GE'!$D$3</f>
        <v>1.0000000000000001E-5</v>
      </c>
      <c r="J26" s="106">
        <f>G26/'PAG100 FE GE'!$D$4</f>
        <v>3.3557046979865772E-7</v>
      </c>
      <c r="K26" s="111">
        <f>H26*'PAG100 FE GE'!$E$2+'FE DEFRA A1. Fuel Eq (2)'!I26*'PAG100 FE GE'!$E$3+J26*'PAG100 FE GE'!$E$4</f>
        <v>0.18293061073825503</v>
      </c>
      <c r="L26" s="111">
        <f>H26*'PAG20 FE GE'!$E$2+'FE DEFRA A1. Fuel Eq (2)'!I26*'PAG20 FE GE'!$E$3+J26*'PAG20 FE GE'!$E$4</f>
        <v>0.18346361073825504</v>
      </c>
      <c r="M26" s="111">
        <f>H26*'PAG100 FE GE'!$D$2+'FE DEFRA A1. Fuel Eq (2)'!I26*'PAG100 FE GE'!$D$3+J26*'PAG100 FE GE'!$D$4</f>
        <v>0.18292892617449666</v>
      </c>
      <c r="N26" s="111">
        <f>H26*'PAG20 FE GE'!$D$2+'FE DEFRA A1. Fuel Eq (2)'!I26*'PAG20 FE GE'!$D$3+J26*'PAG20 FE GE'!$D$4</f>
        <v>0.18349859060402685</v>
      </c>
      <c r="O26" s="111">
        <f>H26*'PAG100 FE GE'!$C$2+'FE DEFRA A1. Fuel Eq (2)'!I26*'PAG100 FE GE'!$C$3+J26*'PAG100 FE GE'!$C$4</f>
        <v>0.18290999999999999</v>
      </c>
      <c r="P26" s="112">
        <f>H26*'PAG20 FE GE'!$C$2+'FE DEFRA A1. Fuel Eq (2)'!I26*'PAG20 FE GE'!$C$3+J26*'PAG20 FE GE'!$C$4</f>
        <v>0.18337697986577181</v>
      </c>
    </row>
    <row r="27" spans="1:16" x14ac:dyDescent="0.25">
      <c r="A27" s="110" t="s">
        <v>108</v>
      </c>
      <c r="B27" s="103" t="s">
        <v>232</v>
      </c>
      <c r="C27" s="127" t="s">
        <v>131</v>
      </c>
      <c r="D27" s="205" t="str">
        <f t="shared" si="0"/>
        <v>GN (100% fossil):tonnes</v>
      </c>
      <c r="E27" s="104">
        <v>2576.94</v>
      </c>
      <c r="F27" s="104">
        <v>3.8528000000000002</v>
      </c>
      <c r="G27" s="104">
        <v>1.1916107382550336</v>
      </c>
      <c r="H27" s="104">
        <f>E27/'PAG100 FE GE'!$D$2</f>
        <v>2576.94</v>
      </c>
      <c r="I27" s="104">
        <f>F27/'PAG100 FE GE'!$D$3</f>
        <v>0.1376</v>
      </c>
      <c r="J27" s="106">
        <f>G27/'PAG100 FE GE'!$D$4</f>
        <v>4.4966442953020139E-3</v>
      </c>
      <c r="K27" s="111">
        <f>H27*'PAG100 FE GE'!$E$2+'FE DEFRA A1. Fuel Eq (2)'!I27*'PAG100 FE GE'!$E$3+J27*'PAG100 FE GE'!$E$4</f>
        <v>2582.0066238926174</v>
      </c>
      <c r="L27" s="111">
        <f>H27*'PAG20 FE GE'!$E$2+'FE DEFRA A1. Fuel Eq (2)'!I27*'PAG20 FE GE'!$E$3+J27*'PAG20 FE GE'!$E$4</f>
        <v>2589.3407038926175</v>
      </c>
      <c r="M27" s="111">
        <f>H27*'PAG100 FE GE'!$D$2+'FE DEFRA A1. Fuel Eq (2)'!I27*'PAG100 FE GE'!$D$3+J27*'PAG100 FE GE'!$D$4</f>
        <v>2581.9844107382551</v>
      </c>
      <c r="N27" s="111">
        <f>H27*'PAG20 FE GE'!$D$2+'FE DEFRA A1. Fuel Eq (2)'!I27*'PAG20 FE GE'!$D$3+J27*'PAG20 FE GE'!$D$4</f>
        <v>2589.8231140939597</v>
      </c>
      <c r="O27" s="111">
        <f>H27*'PAG100 FE GE'!$C$2+'FE DEFRA A1. Fuel Eq (2)'!I27*'PAG100 FE GE'!$C$3+J27*'PAG100 FE GE'!$C$4</f>
        <v>2581.7200000000003</v>
      </c>
      <c r="P27" s="112">
        <f>H27*'PAG20 FE GE'!$C$2+'FE DEFRA A1. Fuel Eq (2)'!I27*'PAG20 FE GE'!$C$3+J27*'PAG20 FE GE'!$C$4</f>
        <v>2588.1467302013425</v>
      </c>
    </row>
    <row r="28" spans="1:16" x14ac:dyDescent="0.25">
      <c r="A28" s="110" t="s">
        <v>108</v>
      </c>
      <c r="B28" s="103" t="s">
        <v>232</v>
      </c>
      <c r="C28" s="127" t="s">
        <v>57</v>
      </c>
      <c r="D28" s="205" t="str">
        <f t="shared" si="0"/>
        <v>GN (100% fossil):kg</v>
      </c>
      <c r="E28" s="104">
        <f>E27/1000</f>
        <v>2.57694</v>
      </c>
      <c r="F28" s="104">
        <f t="shared" ref="F28:G28" si="9">F27/1000</f>
        <v>3.8528000000000004E-3</v>
      </c>
      <c r="G28" s="104">
        <f t="shared" si="9"/>
        <v>1.1916107382550336E-3</v>
      </c>
      <c r="H28" s="104">
        <f>E28/'PAG100 FE GE'!$D$2</f>
        <v>2.57694</v>
      </c>
      <c r="I28" s="104">
        <f>F28/'PAG100 FE GE'!$D$3</f>
        <v>1.3760000000000001E-4</v>
      </c>
      <c r="J28" s="106">
        <f>G28/'PAG100 FE GE'!$D$4</f>
        <v>4.4966442953020135E-6</v>
      </c>
      <c r="K28" s="111">
        <f>H28*'PAG100 FE GE'!$E$2+'FE DEFRA A1. Fuel Eq (2)'!I28*'PAG100 FE GE'!$E$3+J28*'PAG100 FE GE'!$E$4</f>
        <v>2.5820066238926174</v>
      </c>
      <c r="L28" s="111">
        <f>H28*'PAG20 FE GE'!$E$2+'FE DEFRA A1. Fuel Eq (2)'!I28*'PAG20 FE GE'!$E$3+J28*'PAG20 FE GE'!$E$4</f>
        <v>2.5893407038926175</v>
      </c>
      <c r="M28" s="111">
        <f>H28*'PAG100 FE GE'!$D$2+'FE DEFRA A1. Fuel Eq (2)'!I28*'PAG100 FE GE'!$D$3+J28*'PAG100 FE GE'!$D$4</f>
        <v>2.5819844107382552</v>
      </c>
      <c r="N28" s="111">
        <f>H28*'PAG20 FE GE'!$D$2+'FE DEFRA A1. Fuel Eq (2)'!I28*'PAG20 FE GE'!$D$3+J28*'PAG20 FE GE'!$D$4</f>
        <v>2.58982311409396</v>
      </c>
      <c r="O28" s="111">
        <f>H28*'PAG100 FE GE'!$C$2+'FE DEFRA A1. Fuel Eq (2)'!I28*'PAG100 FE GE'!$C$3+J28*'PAG100 FE GE'!$C$4</f>
        <v>2.5817199999999998</v>
      </c>
      <c r="P28" s="112">
        <f>H28*'PAG20 FE GE'!$C$2+'FE DEFRA A1. Fuel Eq (2)'!I28*'PAG20 FE GE'!$C$3+J28*'PAG20 FE GE'!$C$4</f>
        <v>2.5881467302013421</v>
      </c>
    </row>
    <row r="29" spans="1:16" x14ac:dyDescent="0.25">
      <c r="A29" s="110" t="s">
        <v>108</v>
      </c>
      <c r="B29" s="103" t="s">
        <v>232</v>
      </c>
      <c r="C29" s="127" t="s">
        <v>461</v>
      </c>
      <c r="D29" s="205" t="str">
        <f t="shared" si="0"/>
        <v>GN (100% fossil):m3</v>
      </c>
      <c r="E29" s="104">
        <v>2.0498099999999999</v>
      </c>
      <c r="F29" s="104">
        <v>3.0688E-3</v>
      </c>
      <c r="G29" s="104">
        <v>9.5151006711409393E-4</v>
      </c>
      <c r="H29" s="104">
        <f>E29/'PAG100 FE GE'!$D$2</f>
        <v>2.0498099999999999</v>
      </c>
      <c r="I29" s="104">
        <f>F29/'PAG100 FE GE'!$D$3</f>
        <v>1.0959999999999999E-4</v>
      </c>
      <c r="J29" s="106">
        <f>G29/'PAG100 FE GE'!$D$4</f>
        <v>3.5906040268456374E-6</v>
      </c>
      <c r="K29" s="111">
        <f>H29*'PAG100 FE GE'!$E$2+'FE DEFRA A1. Fuel Eq (2)'!I29*'PAG100 FE GE'!$E$3+J29*'PAG100 FE GE'!$E$4</f>
        <v>2.0538480748993289</v>
      </c>
      <c r="L29" s="111">
        <f>H29*'PAG20 FE GE'!$E$2+'FE DEFRA A1. Fuel Eq (2)'!I29*'PAG20 FE GE'!$E$3+J29*'PAG20 FE GE'!$E$4</f>
        <v>2.0596897548993289</v>
      </c>
      <c r="M29" s="111">
        <f>H29*'PAG100 FE GE'!$D$2+'FE DEFRA A1. Fuel Eq (2)'!I29*'PAG100 FE GE'!$D$3+J29*'PAG100 FE GE'!$D$4</f>
        <v>2.0538303100671138</v>
      </c>
      <c r="N29" s="111">
        <f>H29*'PAG20 FE GE'!$D$2+'FE DEFRA A1. Fuel Eq (2)'!I29*'PAG20 FE GE'!$D$3+J29*'PAG20 FE GE'!$D$4</f>
        <v>2.060073919463087</v>
      </c>
      <c r="O29" s="111">
        <f>H29*'PAG100 FE GE'!$C$2+'FE DEFRA A1. Fuel Eq (2)'!I29*'PAG100 FE GE'!$C$3+J29*'PAG100 FE GE'!$C$4</f>
        <v>2.05362</v>
      </c>
      <c r="P29" s="112">
        <f>H29*'PAG20 FE GE'!$C$2+'FE DEFRA A1. Fuel Eq (2)'!I29*'PAG20 FE GE'!$C$3+J29*'PAG20 FE GE'!$C$4</f>
        <v>2.0587388845637582</v>
      </c>
    </row>
    <row r="30" spans="1:16" x14ac:dyDescent="0.25">
      <c r="A30" s="110" t="s">
        <v>108</v>
      </c>
      <c r="B30" s="103" t="s">
        <v>232</v>
      </c>
      <c r="C30" s="127" t="s">
        <v>133</v>
      </c>
      <c r="D30" s="205" t="str">
        <f t="shared" si="0"/>
        <v>GN (100% fossil):kWh (Net CV)</v>
      </c>
      <c r="E30" s="104">
        <v>0.20379</v>
      </c>
      <c r="F30" s="104">
        <v>3.1359999999999998E-4</v>
      </c>
      <c r="G30" s="104">
        <v>9.7818791946308734E-5</v>
      </c>
      <c r="H30" s="104">
        <f>E30/'PAG100 FE GE'!$D$2</f>
        <v>0.20379</v>
      </c>
      <c r="I30" s="104">
        <f>F30/'PAG100 FE GE'!$D$3</f>
        <v>1.1199999999999999E-5</v>
      </c>
      <c r="J30" s="106">
        <f>G30/'PAG100 FE GE'!$D$4</f>
        <v>3.6912751677852351E-7</v>
      </c>
      <c r="K30" s="111">
        <f>H30*'PAG100 FE GE'!$E$2+'FE DEFRA A1. Fuel Eq (2)'!I30*'PAG100 FE GE'!$E$3+J30*'PAG100 FE GE'!$E$4</f>
        <v>0.20420325181208054</v>
      </c>
      <c r="L30" s="111">
        <f>H30*'PAG20 FE GE'!$E$2+'FE DEFRA A1. Fuel Eq (2)'!I30*'PAG20 FE GE'!$E$3+J30*'PAG20 FE GE'!$E$4</f>
        <v>0.20480021181208055</v>
      </c>
      <c r="M30" s="111">
        <f>H30*'PAG100 FE GE'!$D$2+'FE DEFRA A1. Fuel Eq (2)'!I30*'PAG100 FE GE'!$D$3+J30*'PAG100 FE GE'!$D$4</f>
        <v>0.20420141879194631</v>
      </c>
      <c r="N30" s="111">
        <f>H30*'PAG20 FE GE'!$D$2+'FE DEFRA A1. Fuel Eq (2)'!I30*'PAG20 FE GE'!$D$3+J30*'PAG20 FE GE'!$D$4</f>
        <v>0.20483944966442955</v>
      </c>
      <c r="O30" s="111">
        <f>H30*'PAG100 FE GE'!$C$2+'FE DEFRA A1. Fuel Eq (2)'!I30*'PAG100 FE GE'!$C$3+J30*'PAG100 FE GE'!$C$4</f>
        <v>0.20418</v>
      </c>
      <c r="P30" s="112">
        <f>H30*'PAG20 FE GE'!$C$2+'FE DEFRA A1. Fuel Eq (2)'!I30*'PAG20 FE GE'!$C$3+J30*'PAG20 FE GE'!$C$4</f>
        <v>0.20470307785234901</v>
      </c>
    </row>
    <row r="31" spans="1:16" x14ac:dyDescent="0.25">
      <c r="A31" s="110" t="s">
        <v>108</v>
      </c>
      <c r="B31" s="103" t="s">
        <v>232</v>
      </c>
      <c r="C31" s="127" t="s">
        <v>134</v>
      </c>
      <c r="D31" s="205" t="str">
        <f t="shared" si="0"/>
        <v>GN (100% fossil):kWh (Gross CV)</v>
      </c>
      <c r="E31" s="104">
        <v>0.18395</v>
      </c>
      <c r="F31" s="104">
        <v>2.8000000000000003E-4</v>
      </c>
      <c r="G31" s="104">
        <v>8.8926174496644302E-5</v>
      </c>
      <c r="H31" s="104">
        <f>E31/'PAG100 FE GE'!$D$2</f>
        <v>0.18395</v>
      </c>
      <c r="I31" s="104">
        <f>F31/'PAG100 FE GE'!$D$3</f>
        <v>1.0000000000000001E-5</v>
      </c>
      <c r="J31" s="106">
        <f>G31/'PAG100 FE GE'!$D$4</f>
        <v>3.3557046979865772E-7</v>
      </c>
      <c r="K31" s="111">
        <f>H31*'PAG100 FE GE'!$E$2+'FE DEFRA A1. Fuel Eq (2)'!I31*'PAG100 FE GE'!$E$3+J31*'PAG100 FE GE'!$E$4</f>
        <v>0.18432061073825504</v>
      </c>
      <c r="L31" s="111">
        <f>H31*'PAG20 FE GE'!$E$2+'FE DEFRA A1. Fuel Eq (2)'!I31*'PAG20 FE GE'!$E$3+J31*'PAG20 FE GE'!$E$4</f>
        <v>0.18485361073825504</v>
      </c>
      <c r="M31" s="111">
        <f>H31*'PAG100 FE GE'!$D$2+'FE DEFRA A1. Fuel Eq (2)'!I31*'PAG100 FE GE'!$D$3+J31*'PAG100 FE GE'!$D$4</f>
        <v>0.18431892617449666</v>
      </c>
      <c r="N31" s="111">
        <f>H31*'PAG20 FE GE'!$D$2+'FE DEFRA A1. Fuel Eq (2)'!I31*'PAG20 FE GE'!$D$3+J31*'PAG20 FE GE'!$D$4</f>
        <v>0.18488859060402685</v>
      </c>
      <c r="O31" s="111">
        <f>H31*'PAG100 FE GE'!$C$2+'FE DEFRA A1. Fuel Eq (2)'!I31*'PAG100 FE GE'!$C$3+J31*'PAG100 FE GE'!$C$4</f>
        <v>0.18429999999999999</v>
      </c>
      <c r="P31" s="112">
        <f>H31*'PAG20 FE GE'!$C$2+'FE DEFRA A1. Fuel Eq (2)'!I31*'PAG20 FE GE'!$C$3+J31*'PAG20 FE GE'!$C$4</f>
        <v>0.18476697986577181</v>
      </c>
    </row>
    <row r="32" spans="1:16" x14ac:dyDescent="0.25">
      <c r="A32" s="110" t="s">
        <v>108</v>
      </c>
      <c r="B32" s="103" t="s">
        <v>233</v>
      </c>
      <c r="C32" s="127" t="s">
        <v>131</v>
      </c>
      <c r="D32" s="205" t="str">
        <f t="shared" si="0"/>
        <v>Propano:tonnes</v>
      </c>
      <c r="E32" s="104">
        <v>2993.4</v>
      </c>
      <c r="F32" s="104">
        <v>2.5872000000000002</v>
      </c>
      <c r="G32" s="104">
        <v>1.6451342281879195</v>
      </c>
      <c r="H32" s="104">
        <f>E32/'PAG100 FE GE'!$D$2</f>
        <v>2993.4</v>
      </c>
      <c r="I32" s="104">
        <f>F32/'PAG100 FE GE'!$D$3</f>
        <v>9.240000000000001E-2</v>
      </c>
      <c r="J32" s="106">
        <f>G32/'PAG100 FE GE'!$D$4</f>
        <v>6.208053691275168E-3</v>
      </c>
      <c r="K32" s="111">
        <f>H32*'PAG100 FE GE'!$E$2+'FE DEFRA A1. Fuel Eq (2)'!I32*'PAG100 FE GE'!$E$3+J32*'PAG100 FE GE'!$E$4</f>
        <v>2997.6727586577181</v>
      </c>
      <c r="L32" s="111">
        <f>H32*'PAG20 FE GE'!$E$2+'FE DEFRA A1. Fuel Eq (2)'!I32*'PAG20 FE GE'!$E$3+J32*'PAG20 FE GE'!$E$4</f>
        <v>3002.597678657718</v>
      </c>
      <c r="M32" s="111">
        <f>H32*'PAG100 FE GE'!$D$2+'FE DEFRA A1. Fuel Eq (2)'!I32*'PAG100 FE GE'!$D$3+J32*'PAG100 FE GE'!$D$4</f>
        <v>2997.632334228188</v>
      </c>
      <c r="N32" s="111">
        <f>H32*'PAG20 FE GE'!$D$2+'FE DEFRA A1. Fuel Eq (2)'!I32*'PAG20 FE GE'!$D$3+J32*'PAG20 FE GE'!$D$4</f>
        <v>3002.8929261744966</v>
      </c>
      <c r="O32" s="111">
        <f>H32*'PAG100 FE GE'!$C$2+'FE DEFRA A1. Fuel Eq (2)'!I32*'PAG100 FE GE'!$C$3+J32*'PAG100 FE GE'!$C$4</f>
        <v>2997.56</v>
      </c>
      <c r="P32" s="112">
        <f>H32*'PAG20 FE GE'!$C$2+'FE DEFRA A1. Fuel Eq (2)'!I32*'PAG20 FE GE'!$C$3+J32*'PAG20 FE GE'!$C$4</f>
        <v>3001.8469275167786</v>
      </c>
    </row>
    <row r="33" spans="1:16" x14ac:dyDescent="0.25">
      <c r="A33" s="110" t="s">
        <v>108</v>
      </c>
      <c r="B33" s="103" t="s">
        <v>233</v>
      </c>
      <c r="C33" s="127" t="s">
        <v>57</v>
      </c>
      <c r="D33" s="205" t="str">
        <f t="shared" si="0"/>
        <v>Propano:kg</v>
      </c>
      <c r="E33" s="104">
        <f>E32/1000</f>
        <v>2.9934000000000003</v>
      </c>
      <c r="F33" s="104">
        <f t="shared" ref="F33:G33" si="10">F32/1000</f>
        <v>2.5872E-3</v>
      </c>
      <c r="G33" s="104">
        <f t="shared" si="10"/>
        <v>1.6451342281879197E-3</v>
      </c>
      <c r="H33" s="104">
        <f>E33/'PAG100 FE GE'!$D$2</f>
        <v>2.9934000000000003</v>
      </c>
      <c r="I33" s="104">
        <f>F33/'PAG100 FE GE'!$D$3</f>
        <v>9.2399999999999996E-5</v>
      </c>
      <c r="J33" s="106">
        <f>G33/'PAG100 FE GE'!$D$4</f>
        <v>6.2080536912751686E-6</v>
      </c>
      <c r="K33" s="111">
        <f>H33*'PAG100 FE GE'!$E$2+'FE DEFRA A1. Fuel Eq (2)'!I33*'PAG100 FE GE'!$E$3+J33*'PAG100 FE GE'!$E$4</f>
        <v>2.9976727586577185</v>
      </c>
      <c r="L33" s="111">
        <f>H33*'PAG20 FE GE'!$E$2+'FE DEFRA A1. Fuel Eq (2)'!I33*'PAG20 FE GE'!$E$3+J33*'PAG20 FE GE'!$E$4</f>
        <v>3.0025976786577186</v>
      </c>
      <c r="M33" s="111">
        <f>H33*'PAG100 FE GE'!$D$2+'FE DEFRA A1. Fuel Eq (2)'!I33*'PAG100 FE GE'!$D$3+J33*'PAG100 FE GE'!$D$4</f>
        <v>2.9976323342281881</v>
      </c>
      <c r="N33" s="111">
        <f>H33*'PAG20 FE GE'!$D$2+'FE DEFRA A1. Fuel Eq (2)'!I33*'PAG20 FE GE'!$D$3+J33*'PAG20 FE GE'!$D$4</f>
        <v>3.0028929261744968</v>
      </c>
      <c r="O33" s="111">
        <f>H33*'PAG100 FE GE'!$C$2+'FE DEFRA A1. Fuel Eq (2)'!I33*'PAG100 FE GE'!$C$3+J33*'PAG100 FE GE'!$C$4</f>
        <v>2.9975600000000004</v>
      </c>
      <c r="P33" s="112">
        <f>H33*'PAG20 FE GE'!$C$2+'FE DEFRA A1. Fuel Eq (2)'!I33*'PAG20 FE GE'!$C$3+J33*'PAG20 FE GE'!$C$4</f>
        <v>3.0018469275167785</v>
      </c>
    </row>
    <row r="34" spans="1:16" x14ac:dyDescent="0.25">
      <c r="A34" s="110" t="s">
        <v>108</v>
      </c>
      <c r="B34" s="103" t="s">
        <v>233</v>
      </c>
      <c r="C34" s="127" t="s">
        <v>55</v>
      </c>
      <c r="D34" s="205" t="str">
        <f t="shared" si="0"/>
        <v>Propano:l</v>
      </c>
      <c r="E34" s="104">
        <v>1.5414000000000001</v>
      </c>
      <c r="F34" s="104">
        <v>1.3328000000000003E-3</v>
      </c>
      <c r="G34" s="104">
        <v>8.4479865771812076E-4</v>
      </c>
      <c r="H34" s="104">
        <f>E34/'PAG100 FE GE'!$D$2</f>
        <v>1.5414000000000001</v>
      </c>
      <c r="I34" s="104">
        <f>F34/'PAG100 FE GE'!$D$3</f>
        <v>4.7600000000000012E-5</v>
      </c>
      <c r="J34" s="106">
        <f>G34/'PAG100 FE GE'!$D$4</f>
        <v>3.1879194630872482E-6</v>
      </c>
      <c r="K34" s="111">
        <f>H34*'PAG100 FE GE'!$E$2+'FE DEFRA A1. Fuel Eq (2)'!I34*'PAG100 FE GE'!$E$3+J34*'PAG100 FE GE'!$E$4</f>
        <v>1.5435983420134229</v>
      </c>
      <c r="L34" s="111">
        <f>H34*'PAG20 FE GE'!$E$2+'FE DEFRA A1. Fuel Eq (2)'!I34*'PAG20 FE GE'!$E$3+J34*'PAG20 FE GE'!$E$4</f>
        <v>1.5461354220134229</v>
      </c>
      <c r="M34" s="111">
        <f>H34*'PAG100 FE GE'!$D$2+'FE DEFRA A1. Fuel Eq (2)'!I34*'PAG100 FE GE'!$D$3+J34*'PAG100 FE GE'!$D$4</f>
        <v>1.543577598657718</v>
      </c>
      <c r="N34" s="111">
        <f>H34*'PAG20 FE GE'!$D$2+'FE DEFRA A1. Fuel Eq (2)'!I34*'PAG20 FE GE'!$D$3+J34*'PAG20 FE GE'!$D$4</f>
        <v>1.546287610738255</v>
      </c>
      <c r="O34" s="111">
        <f>H34*'PAG100 FE GE'!$C$2+'FE DEFRA A1. Fuel Eq (2)'!I34*'PAG100 FE GE'!$C$3+J34*'PAG100 FE GE'!$C$4</f>
        <v>1.5435400000000001</v>
      </c>
      <c r="P34" s="112">
        <f>H34*'PAG20 FE GE'!$C$2+'FE DEFRA A1. Fuel Eq (2)'!I34*'PAG20 FE GE'!$C$3+J34*'PAG20 FE GE'!$C$4</f>
        <v>1.5457485087248324</v>
      </c>
    </row>
    <row r="35" spans="1:16" x14ac:dyDescent="0.25">
      <c r="A35" s="110" t="s">
        <v>108</v>
      </c>
      <c r="B35" s="103" t="s">
        <v>233</v>
      </c>
      <c r="C35" s="127" t="s">
        <v>133</v>
      </c>
      <c r="D35" s="205" t="str">
        <f t="shared" si="0"/>
        <v>Propano:kWh (Net CV)</v>
      </c>
      <c r="E35" s="104">
        <v>0.23225000000000001</v>
      </c>
      <c r="F35" s="104">
        <v>2.0160000000000002E-4</v>
      </c>
      <c r="G35" s="104">
        <v>1.2449664429530201E-4</v>
      </c>
      <c r="H35" s="104">
        <f>E35/'PAG100 FE GE'!$D$2</f>
        <v>0.23225000000000001</v>
      </c>
      <c r="I35" s="104">
        <f>F35/'PAG100 FE GE'!$D$3</f>
        <v>7.2000000000000005E-6</v>
      </c>
      <c r="J35" s="106">
        <f>G35/'PAG100 FE GE'!$D$4</f>
        <v>4.6979865771812082E-7</v>
      </c>
      <c r="K35" s="111">
        <f>H35*'PAG100 FE GE'!$E$2+'FE DEFRA A1. Fuel Eq (2)'!I35*'PAG100 FE GE'!$E$3+J35*'PAG100 FE GE'!$E$4</f>
        <v>0.23257913503355704</v>
      </c>
      <c r="L35" s="111">
        <f>H35*'PAG20 FE GE'!$E$2+'FE DEFRA A1. Fuel Eq (2)'!I35*'PAG20 FE GE'!$E$3+J35*'PAG20 FE GE'!$E$4</f>
        <v>0.23296289503355705</v>
      </c>
      <c r="M35" s="111">
        <f>H35*'PAG100 FE GE'!$D$2+'FE DEFRA A1. Fuel Eq (2)'!I35*'PAG100 FE GE'!$D$3+J35*'PAG100 FE GE'!$D$4</f>
        <v>0.23257609664429532</v>
      </c>
      <c r="N35" s="111">
        <f>H35*'PAG20 FE GE'!$D$2+'FE DEFRA A1. Fuel Eq (2)'!I35*'PAG20 FE GE'!$D$3+J35*'PAG20 FE GE'!$D$4</f>
        <v>0.2329860268456376</v>
      </c>
      <c r="O35" s="111">
        <f>H35*'PAG100 FE GE'!$C$2+'FE DEFRA A1. Fuel Eq (2)'!I35*'PAG100 FE GE'!$C$3+J35*'PAG100 FE GE'!$C$4</f>
        <v>0.23257000000000003</v>
      </c>
      <c r="P35" s="112">
        <f>H35*'PAG20 FE GE'!$C$2+'FE DEFRA A1. Fuel Eq (2)'!I35*'PAG20 FE GE'!$C$3+J35*'PAG20 FE GE'!$C$4</f>
        <v>0.23290417181208056</v>
      </c>
    </row>
    <row r="36" spans="1:16" x14ac:dyDescent="0.25">
      <c r="A36" s="110" t="s">
        <v>108</v>
      </c>
      <c r="B36" s="103" t="s">
        <v>233</v>
      </c>
      <c r="C36" s="127" t="s">
        <v>134</v>
      </c>
      <c r="D36" s="205" t="str">
        <f t="shared" si="0"/>
        <v>Propano:kWh (Gross CV)</v>
      </c>
      <c r="E36" s="104">
        <v>0.21381</v>
      </c>
      <c r="F36" s="104">
        <v>1.7920000000000002E-4</v>
      </c>
      <c r="G36" s="104">
        <v>1.1560402684563757E-4</v>
      </c>
      <c r="H36" s="104">
        <f>E36/'PAG100 FE GE'!$D$2</f>
        <v>0.21381</v>
      </c>
      <c r="I36" s="104">
        <f>F36/'PAG100 FE GE'!$D$3</f>
        <v>6.4000000000000006E-6</v>
      </c>
      <c r="J36" s="106">
        <f>G36/'PAG100 FE GE'!$D$4</f>
        <v>4.3624161073825498E-7</v>
      </c>
      <c r="K36" s="111">
        <f>H36*'PAG100 FE GE'!$E$2+'FE DEFRA A1. Fuel Eq (2)'!I36*'PAG100 FE GE'!$E$3+J36*'PAG100 FE GE'!$E$4</f>
        <v>0.21410765395973153</v>
      </c>
      <c r="L36" s="111">
        <f>H36*'PAG20 FE GE'!$E$2+'FE DEFRA A1. Fuel Eq (2)'!I36*'PAG20 FE GE'!$E$3+J36*'PAG20 FE GE'!$E$4</f>
        <v>0.21444877395973153</v>
      </c>
      <c r="M36" s="111">
        <f>H36*'PAG100 FE GE'!$D$2+'FE DEFRA A1. Fuel Eq (2)'!I36*'PAG100 FE GE'!$D$3+J36*'PAG100 FE GE'!$D$4</f>
        <v>0.21410480402684562</v>
      </c>
      <c r="N36" s="111">
        <f>H36*'PAG20 FE GE'!$D$2+'FE DEFRA A1. Fuel Eq (2)'!I36*'PAG20 FE GE'!$D$3+J36*'PAG20 FE GE'!$D$4</f>
        <v>0.21446916778523489</v>
      </c>
      <c r="O36" s="111">
        <f>H36*'PAG100 FE GE'!$C$2+'FE DEFRA A1. Fuel Eq (2)'!I36*'PAG100 FE GE'!$C$3+J36*'PAG100 FE GE'!$C$4</f>
        <v>0.21409999999999998</v>
      </c>
      <c r="P36" s="112">
        <f>H36*'PAG20 FE GE'!$C$2+'FE DEFRA A1. Fuel Eq (2)'!I36*'PAG20 FE GE'!$C$3+J36*'PAG20 FE GE'!$C$4</f>
        <v>0.21439687382550338</v>
      </c>
    </row>
    <row r="37" spans="1:16" x14ac:dyDescent="0.25">
      <c r="A37" s="110" t="s">
        <v>119</v>
      </c>
      <c r="B37" s="105" t="s">
        <v>3</v>
      </c>
      <c r="C37" s="127" t="s">
        <v>131</v>
      </c>
      <c r="D37" s="205" t="str">
        <f t="shared" si="0"/>
        <v>Gasóleo:tonnes</v>
      </c>
      <c r="E37" s="104">
        <v>2976.42</v>
      </c>
      <c r="F37" s="104">
        <v>0.34720000000000001</v>
      </c>
      <c r="G37" s="104">
        <v>38.887416107382549</v>
      </c>
      <c r="H37" s="104">
        <f>E37/'PAG100 FE GE'!$D$2</f>
        <v>2976.42</v>
      </c>
      <c r="I37" s="104">
        <f>F37/'PAG100 FE GE'!$D$3</f>
        <v>1.24E-2</v>
      </c>
      <c r="J37" s="106">
        <f>G37/'PAG100 FE GE'!$D$4</f>
        <v>0.14674496644295301</v>
      </c>
      <c r="K37" s="111">
        <f>H37*'PAG100 FE GE'!$E$2+'FE DEFRA A1. Fuel Eq (2)'!I37*'PAG100 FE GE'!$E$3+J37*'PAG100 FE GE'!$E$4</f>
        <v>3016.8273358389265</v>
      </c>
      <c r="L37" s="111">
        <f>H37*'PAG20 FE GE'!$E$2+'FE DEFRA A1. Fuel Eq (2)'!I37*'PAG20 FE GE'!$E$3+J37*'PAG20 FE GE'!$E$4</f>
        <v>3017.4882558389263</v>
      </c>
      <c r="M37" s="111">
        <f>H37*'PAG100 FE GE'!$D$2+'FE DEFRA A1. Fuel Eq (2)'!I37*'PAG100 FE GE'!$D$3+J37*'PAG100 FE GE'!$D$4</f>
        <v>3015.6546161073829</v>
      </c>
      <c r="N37" s="111">
        <f>H37*'PAG20 FE GE'!$D$2+'FE DEFRA A1. Fuel Eq (2)'!I37*'PAG20 FE GE'!$D$3+J37*'PAG20 FE GE'!$D$4</f>
        <v>3016.2146711409396</v>
      </c>
      <c r="O37" s="111">
        <f>H37*'PAG100 FE GE'!$C$2+'FE DEFRA A1. Fuel Eq (2)'!I37*'PAG100 FE GE'!$C$3+J37*'PAG100 FE GE'!$C$4</f>
        <v>3020.46</v>
      </c>
      <c r="P37" s="112">
        <f>H37*'PAG20 FE GE'!$C$2+'FE DEFRA A1. Fuel Eq (2)'!I37*'PAG20 FE GE'!$C$3+J37*'PAG20 FE GE'!$C$4</f>
        <v>3019.7220953020137</v>
      </c>
    </row>
    <row r="38" spans="1:16" x14ac:dyDescent="0.25">
      <c r="A38" s="110" t="s">
        <v>119</v>
      </c>
      <c r="B38" s="105" t="s">
        <v>3</v>
      </c>
      <c r="C38" s="127" t="s">
        <v>57</v>
      </c>
      <c r="D38" s="205" t="str">
        <f t="shared" si="0"/>
        <v>Gasóleo:kg</v>
      </c>
      <c r="E38" s="104">
        <f>E37/1000</f>
        <v>2.9764200000000001</v>
      </c>
      <c r="F38" s="104">
        <f t="shared" ref="F38:G38" si="11">F37/1000</f>
        <v>3.4719999999999998E-4</v>
      </c>
      <c r="G38" s="104">
        <f t="shared" si="11"/>
        <v>3.8887416107382548E-2</v>
      </c>
      <c r="H38" s="104">
        <f>E38/'PAG100 FE GE'!$D$2</f>
        <v>2.9764200000000001</v>
      </c>
      <c r="I38" s="104">
        <f>F38/'PAG100 FE GE'!$D$3</f>
        <v>1.24E-5</v>
      </c>
      <c r="J38" s="106">
        <f>G38/'PAG100 FE GE'!$D$4</f>
        <v>1.4674496644295301E-4</v>
      </c>
      <c r="K38" s="111">
        <f>H38*'PAG100 FE GE'!$E$2+'FE DEFRA A1. Fuel Eq (2)'!I38*'PAG100 FE GE'!$E$3+J38*'PAG100 FE GE'!$E$4</f>
        <v>3.0168273358389266</v>
      </c>
      <c r="L38" s="111">
        <f>H38*'PAG20 FE GE'!$E$2+'FE DEFRA A1. Fuel Eq (2)'!I38*'PAG20 FE GE'!$E$3+J38*'PAG20 FE GE'!$E$4</f>
        <v>3.0174882558389262</v>
      </c>
      <c r="M38" s="111">
        <f>H38*'PAG100 FE GE'!$D$2+'FE DEFRA A1. Fuel Eq (2)'!I38*'PAG100 FE GE'!$D$3+J38*'PAG100 FE GE'!$D$4</f>
        <v>3.0156546161073829</v>
      </c>
      <c r="N38" s="111">
        <f>H38*'PAG20 FE GE'!$D$2+'FE DEFRA A1. Fuel Eq (2)'!I38*'PAG20 FE GE'!$D$3+J38*'PAG20 FE GE'!$D$4</f>
        <v>3.0162146711409394</v>
      </c>
      <c r="O38" s="111">
        <f>H38*'PAG100 FE GE'!$C$2+'FE DEFRA A1. Fuel Eq (2)'!I38*'PAG100 FE GE'!$C$3+J38*'PAG100 FE GE'!$C$4</f>
        <v>3.0204599999999999</v>
      </c>
      <c r="P38" s="112">
        <f>H38*'PAG20 FE GE'!$C$2+'FE DEFRA A1. Fuel Eq (2)'!I38*'PAG20 FE GE'!$C$3+J38*'PAG20 FE GE'!$C$4</f>
        <v>3.0197220953020132</v>
      </c>
    </row>
    <row r="39" spans="1:16" x14ac:dyDescent="0.25">
      <c r="A39" s="110" t="s">
        <v>119</v>
      </c>
      <c r="B39" s="105" t="s">
        <v>3</v>
      </c>
      <c r="C39" s="127" t="s">
        <v>55</v>
      </c>
      <c r="D39" s="205" t="str">
        <f t="shared" si="0"/>
        <v>Gasóleo:l</v>
      </c>
      <c r="E39" s="104">
        <v>2.4788700000000001</v>
      </c>
      <c r="F39" s="104">
        <v>2.9119999999999998E-4</v>
      </c>
      <c r="G39" s="104">
        <v>3.2902684563758389E-2</v>
      </c>
      <c r="H39" s="104">
        <f>E39/'PAG100 FE GE'!$D$2</f>
        <v>2.4788700000000001</v>
      </c>
      <c r="I39" s="104">
        <f>F39/'PAG100 FE GE'!$D$3</f>
        <v>1.0399999999999999E-5</v>
      </c>
      <c r="J39" s="106">
        <f>G39/'PAG100 FE GE'!$D$4</f>
        <v>1.2416107382550335E-4</v>
      </c>
      <c r="K39" s="111">
        <f>H39*'PAG100 FE GE'!$E$2+'FE DEFRA A1. Fuel Eq (2)'!I39*'PAG100 FE GE'!$E$3+J39*'PAG100 FE GE'!$E$4</f>
        <v>2.5130561331543624</v>
      </c>
      <c r="L39" s="111">
        <f>H39*'PAG20 FE GE'!$E$2+'FE DEFRA A1. Fuel Eq (2)'!I39*'PAG20 FE GE'!$E$3+J39*'PAG20 FE GE'!$E$4</f>
        <v>2.5136104531543624</v>
      </c>
      <c r="M39" s="111">
        <f>H39*'PAG100 FE GE'!$D$2+'FE DEFRA A1. Fuel Eq (2)'!I39*'PAG100 FE GE'!$D$3+J39*'PAG100 FE GE'!$D$4</f>
        <v>2.5120638845637586</v>
      </c>
      <c r="N39" s="111">
        <f>H39*'PAG20 FE GE'!$D$2+'FE DEFRA A1. Fuel Eq (2)'!I39*'PAG20 FE GE'!$D$3+J39*'PAG20 FE GE'!$D$4</f>
        <v>2.5125325234899329</v>
      </c>
      <c r="O39" s="111">
        <f>H39*'PAG100 FE GE'!$C$2+'FE DEFRA A1. Fuel Eq (2)'!I39*'PAG100 FE GE'!$C$3+J39*'PAG100 FE GE'!$C$4</f>
        <v>2.51613</v>
      </c>
      <c r="P39" s="112">
        <f>H39*'PAG20 FE GE'!$C$2+'FE DEFRA A1. Fuel Eq (2)'!I39*'PAG20 FE GE'!$C$3+J39*'PAG20 FE GE'!$C$4</f>
        <v>2.5155013503355708</v>
      </c>
    </row>
    <row r="40" spans="1:16" x14ac:dyDescent="0.25">
      <c r="A40" s="110" t="s">
        <v>119</v>
      </c>
      <c r="B40" s="105" t="s">
        <v>3</v>
      </c>
      <c r="C40" s="127" t="s">
        <v>133</v>
      </c>
      <c r="D40" s="205" t="str">
        <f t="shared" si="0"/>
        <v>Gasóleo:kWh (Net CV)</v>
      </c>
      <c r="E40" s="104">
        <v>0.25075999999999998</v>
      </c>
      <c r="F40" s="104">
        <v>3.3600000000000004E-5</v>
      </c>
      <c r="G40" s="104">
        <v>3.2991610738255035E-3</v>
      </c>
      <c r="H40" s="104">
        <f>E40/'PAG100 FE GE'!$D$2</f>
        <v>0.25075999999999998</v>
      </c>
      <c r="I40" s="104">
        <f>F40/'PAG100 FE GE'!$D$3</f>
        <v>1.2000000000000002E-6</v>
      </c>
      <c r="J40" s="106">
        <f>G40/'PAG100 FE GE'!$D$4</f>
        <v>1.2449664429530203E-5</v>
      </c>
      <c r="K40" s="111">
        <f>H40*'PAG100 FE GE'!$E$2+'FE DEFRA A1. Fuel Eq (2)'!I40*'PAG100 FE GE'!$E$3+J40*'PAG100 FE GE'!$E$4</f>
        <v>0.25419223838926169</v>
      </c>
      <c r="L40" s="111">
        <f>H40*'PAG20 FE GE'!$E$2+'FE DEFRA A1. Fuel Eq (2)'!I40*'PAG20 FE GE'!$E$3+J40*'PAG20 FE GE'!$E$4</f>
        <v>0.25425619838926172</v>
      </c>
      <c r="M40" s="111">
        <f>H40*'PAG100 FE GE'!$D$2+'FE DEFRA A1. Fuel Eq (2)'!I40*'PAG100 FE GE'!$D$3+J40*'PAG100 FE GE'!$D$4</f>
        <v>0.2540927610738255</v>
      </c>
      <c r="N40" s="111">
        <f>H40*'PAG20 FE GE'!$D$2+'FE DEFRA A1. Fuel Eq (2)'!I40*'PAG20 FE GE'!$D$3+J40*'PAG20 FE GE'!$D$4</f>
        <v>0.25414871140939593</v>
      </c>
      <c r="O40" s="111">
        <f>H40*'PAG100 FE GE'!$C$2+'FE DEFRA A1. Fuel Eq (2)'!I40*'PAG100 FE GE'!$C$3+J40*'PAG100 FE GE'!$C$4</f>
        <v>0.25449999999999995</v>
      </c>
      <c r="P40" s="112">
        <f>H40*'PAG20 FE GE'!$C$2+'FE DEFRA A1. Fuel Eq (2)'!I40*'PAG20 FE GE'!$C$3+J40*'PAG20 FE GE'!$C$4</f>
        <v>0.25444435302013418</v>
      </c>
    </row>
    <row r="41" spans="1:16" x14ac:dyDescent="0.25">
      <c r="A41" s="110" t="s">
        <v>119</v>
      </c>
      <c r="B41" s="105" t="s">
        <v>3</v>
      </c>
      <c r="C41" s="127" t="s">
        <v>134</v>
      </c>
      <c r="D41" s="205" t="str">
        <f t="shared" si="0"/>
        <v>Gasóleo:kWh (Gross CV)</v>
      </c>
      <c r="E41" s="104">
        <v>0.23594999999999999</v>
      </c>
      <c r="F41" s="104">
        <v>2.2400000000000002E-5</v>
      </c>
      <c r="G41" s="104">
        <v>3.1035234899328859E-3</v>
      </c>
      <c r="H41" s="104">
        <f>E41/'PAG100 FE GE'!$D$2</f>
        <v>0.23594999999999999</v>
      </c>
      <c r="I41" s="104">
        <f>F41/'PAG100 FE GE'!$D$3</f>
        <v>8.0000000000000007E-7</v>
      </c>
      <c r="J41" s="106">
        <f>G41/'PAG100 FE GE'!$D$4</f>
        <v>1.1711409395973155E-5</v>
      </c>
      <c r="K41" s="111">
        <f>H41*'PAG100 FE GE'!$E$2+'FE DEFRA A1. Fuel Eq (2)'!I41*'PAG100 FE GE'!$E$3+J41*'PAG100 FE GE'!$E$4</f>
        <v>0.23916953476510067</v>
      </c>
      <c r="L41" s="111">
        <f>H41*'PAG20 FE GE'!$E$2+'FE DEFRA A1. Fuel Eq (2)'!I41*'PAG20 FE GE'!$E$3+J41*'PAG20 FE GE'!$E$4</f>
        <v>0.23921217476510068</v>
      </c>
      <c r="M41" s="111">
        <f>H41*'PAG100 FE GE'!$D$2+'FE DEFRA A1. Fuel Eq (2)'!I41*'PAG100 FE GE'!$D$3+J41*'PAG100 FE GE'!$D$4</f>
        <v>0.2390759234899329</v>
      </c>
      <c r="N41" s="111">
        <f>H41*'PAG20 FE GE'!$D$2+'FE DEFRA A1. Fuel Eq (2)'!I41*'PAG20 FE GE'!$D$3+J41*'PAG20 FE GE'!$D$4</f>
        <v>0.23910981208053692</v>
      </c>
      <c r="O41" s="111">
        <f>H41*'PAG100 FE GE'!$C$2+'FE DEFRA A1. Fuel Eq (2)'!I41*'PAG100 FE GE'!$C$3+J41*'PAG100 FE GE'!$C$4</f>
        <v>0.23945999999999998</v>
      </c>
      <c r="P41" s="112">
        <f>H41*'PAG20 FE GE'!$C$2+'FE DEFRA A1. Fuel Eq (2)'!I41*'PAG20 FE GE'!$C$3+J41*'PAG20 FE GE'!$C$4</f>
        <v>0.23939219731543623</v>
      </c>
    </row>
    <row r="42" spans="1:16" x14ac:dyDescent="0.25">
      <c r="A42" s="110" t="s">
        <v>119</v>
      </c>
      <c r="B42" s="105" t="s">
        <v>149</v>
      </c>
      <c r="C42" s="127" t="s">
        <v>131</v>
      </c>
      <c r="D42" s="205" t="str">
        <f t="shared" si="0"/>
        <v>Fuel oil:tonnes</v>
      </c>
      <c r="E42" s="104">
        <v>3216.38</v>
      </c>
      <c r="F42" s="104">
        <v>5.3872</v>
      </c>
      <c r="G42" s="104">
        <v>7.1229865771812078</v>
      </c>
      <c r="H42" s="104">
        <f>E42/'PAG100 FE GE'!$D$2</f>
        <v>3216.38</v>
      </c>
      <c r="I42" s="104">
        <f>F42/'PAG100 FE GE'!$D$3</f>
        <v>0.19239999999999999</v>
      </c>
      <c r="J42" s="106">
        <f>G42/'PAG100 FE GE'!$D$4</f>
        <v>2.6879194630872481E-2</v>
      </c>
      <c r="K42" s="111">
        <f>H42*'PAG100 FE GE'!$E$2+'FE DEFRA A1. Fuel Eq (2)'!I42*'PAG100 FE GE'!$E$3+J42*'PAG100 FE GE'!$E$4</f>
        <v>3229.0859801342285</v>
      </c>
      <c r="L42" s="111">
        <f>H42*'PAG20 FE GE'!$E$2+'FE DEFRA A1. Fuel Eq (2)'!I42*'PAG20 FE GE'!$E$3+J42*'PAG20 FE GE'!$E$4</f>
        <v>3239.3409001342284</v>
      </c>
      <c r="M42" s="111">
        <f>H42*'PAG100 FE GE'!$D$2+'FE DEFRA A1. Fuel Eq (2)'!I42*'PAG100 FE GE'!$D$3+J42*'PAG100 FE GE'!$D$4</f>
        <v>3228.8901865771813</v>
      </c>
      <c r="N42" s="111">
        <f>H42*'PAG20 FE GE'!$D$2+'FE DEFRA A1. Fuel Eq (2)'!I42*'PAG20 FE GE'!$D$3+J42*'PAG20 FE GE'!$D$4</f>
        <v>3239.8301073825501</v>
      </c>
      <c r="O42" s="111">
        <f>H42*'PAG100 FE GE'!$C$2+'FE DEFRA A1. Fuel Eq (2)'!I42*'PAG100 FE GE'!$C$3+J42*'PAG100 FE GE'!$C$4</f>
        <v>3229.2000000000003</v>
      </c>
      <c r="P42" s="112">
        <f>H42*'PAG20 FE GE'!$C$2+'FE DEFRA A1. Fuel Eq (2)'!I42*'PAG20 FE GE'!$C$3+J42*'PAG20 FE GE'!$C$4</f>
        <v>3238.0008872483222</v>
      </c>
    </row>
    <row r="43" spans="1:16" x14ac:dyDescent="0.25">
      <c r="A43" s="110" t="s">
        <v>119</v>
      </c>
      <c r="B43" s="105" t="s">
        <v>149</v>
      </c>
      <c r="C43" s="127" t="s">
        <v>57</v>
      </c>
      <c r="D43" s="205" t="str">
        <f t="shared" si="0"/>
        <v>Fuel oil:kg</v>
      </c>
      <c r="E43" s="104">
        <f>E42/1000</f>
        <v>3.21638</v>
      </c>
      <c r="F43" s="104">
        <f t="shared" ref="F43:G43" si="12">F42/1000</f>
        <v>5.3872E-3</v>
      </c>
      <c r="G43" s="104">
        <f t="shared" si="12"/>
        <v>7.1229865771812078E-3</v>
      </c>
      <c r="H43" s="104">
        <f>E43/'PAG100 FE GE'!$D$2</f>
        <v>3.21638</v>
      </c>
      <c r="I43" s="104">
        <f>F43/'PAG100 FE GE'!$D$3</f>
        <v>1.9239999999999999E-4</v>
      </c>
      <c r="J43" s="106">
        <f>G43/'PAG100 FE GE'!$D$4</f>
        <v>2.6879194630872482E-5</v>
      </c>
      <c r="K43" s="111">
        <f>H43*'PAG100 FE GE'!$E$2+'FE DEFRA A1. Fuel Eq (2)'!I43*'PAG100 FE GE'!$E$3+J43*'PAG100 FE GE'!$E$4</f>
        <v>3.2290859801342284</v>
      </c>
      <c r="L43" s="111">
        <f>H43*'PAG20 FE GE'!$E$2+'FE DEFRA A1. Fuel Eq (2)'!I43*'PAG20 FE GE'!$E$3+J43*'PAG20 FE GE'!$E$4</f>
        <v>3.2393409001342284</v>
      </c>
      <c r="M43" s="111">
        <f>H43*'PAG100 FE GE'!$D$2+'FE DEFRA A1. Fuel Eq (2)'!I43*'PAG100 FE GE'!$D$3+J43*'PAG100 FE GE'!$D$4</f>
        <v>3.2288901865771811</v>
      </c>
      <c r="N43" s="111">
        <f>H43*'PAG20 FE GE'!$D$2+'FE DEFRA A1. Fuel Eq (2)'!I43*'PAG20 FE GE'!$D$3+J43*'PAG20 FE GE'!$D$4</f>
        <v>3.2398301073825504</v>
      </c>
      <c r="O43" s="111">
        <f>H43*'PAG100 FE GE'!$C$2+'FE DEFRA A1. Fuel Eq (2)'!I43*'PAG100 FE GE'!$C$3+J43*'PAG100 FE GE'!$C$4</f>
        <v>3.2292000000000001</v>
      </c>
      <c r="P43" s="112">
        <f>H43*'PAG20 FE GE'!$C$2+'FE DEFRA A1. Fuel Eq (2)'!I43*'PAG20 FE GE'!$C$3+J43*'PAG20 FE GE'!$C$4</f>
        <v>3.2380008872483224</v>
      </c>
    </row>
    <row r="44" spans="1:16" x14ac:dyDescent="0.25">
      <c r="A44" s="110" t="s">
        <v>119</v>
      </c>
      <c r="B44" s="105" t="s">
        <v>149</v>
      </c>
      <c r="C44" s="127" t="s">
        <v>55</v>
      </c>
      <c r="D44" s="205" t="str">
        <f t="shared" si="0"/>
        <v>Fuel oil:l</v>
      </c>
      <c r="E44" s="104">
        <v>3.16262</v>
      </c>
      <c r="F44" s="104">
        <v>5.2976000000000004E-3</v>
      </c>
      <c r="G44" s="104">
        <v>7.00738255033557E-3</v>
      </c>
      <c r="H44" s="104">
        <f>E44/'PAG100 FE GE'!$D$2</f>
        <v>3.16262</v>
      </c>
      <c r="I44" s="104">
        <f>F44/'PAG100 FE GE'!$D$3</f>
        <v>1.8920000000000002E-4</v>
      </c>
      <c r="J44" s="106">
        <f>G44/'PAG100 FE GE'!$D$4</f>
        <v>2.6442953020134226E-5</v>
      </c>
      <c r="K44" s="111">
        <f>H44*'PAG100 FE GE'!$E$2+'FE DEFRA A1. Fuel Eq (2)'!I44*'PAG100 FE GE'!$E$3+J44*'PAG100 FE GE'!$E$4</f>
        <v>3.1751176061744966</v>
      </c>
      <c r="L44" s="111">
        <f>H44*'PAG20 FE GE'!$E$2+'FE DEFRA A1. Fuel Eq (2)'!I44*'PAG20 FE GE'!$E$3+J44*'PAG20 FE GE'!$E$4</f>
        <v>3.1852019661744966</v>
      </c>
      <c r="M44" s="111">
        <f>H44*'PAG100 FE GE'!$D$2+'FE DEFRA A1. Fuel Eq (2)'!I44*'PAG100 FE GE'!$D$3+J44*'PAG100 FE GE'!$D$4</f>
        <v>3.1749249825503356</v>
      </c>
      <c r="N44" s="111">
        <f>H44*'PAG20 FE GE'!$D$2+'FE DEFRA A1. Fuel Eq (2)'!I44*'PAG20 FE GE'!$D$3+J44*'PAG20 FE GE'!$D$4</f>
        <v>3.1856829395973154</v>
      </c>
      <c r="O44" s="111">
        <f>H44*'PAG100 FE GE'!$C$2+'FE DEFRA A1. Fuel Eq (2)'!I44*'PAG100 FE GE'!$C$3+J44*'PAG100 FE GE'!$C$4</f>
        <v>3.17523</v>
      </c>
      <c r="P44" s="112">
        <f>H44*'PAG20 FE GE'!$C$2+'FE DEFRA A1. Fuel Eq (2)'!I44*'PAG20 FE GE'!$C$3+J44*'PAG20 FE GE'!$C$4</f>
        <v>3.183884413422819</v>
      </c>
    </row>
    <row r="45" spans="1:16" x14ac:dyDescent="0.25">
      <c r="A45" s="110" t="s">
        <v>119</v>
      </c>
      <c r="B45" s="105" t="s">
        <v>149</v>
      </c>
      <c r="C45" s="127" t="s">
        <v>133</v>
      </c>
      <c r="D45" s="205" t="str">
        <f t="shared" si="0"/>
        <v>Fuel oil:kWh (Net CV)</v>
      </c>
      <c r="E45" s="104">
        <v>0.28412999999999999</v>
      </c>
      <c r="F45" s="104">
        <v>4.7040000000000005E-4</v>
      </c>
      <c r="G45" s="104">
        <v>6.3137583892617451E-4</v>
      </c>
      <c r="H45" s="104">
        <f>E45/'PAG100 FE GE'!$D$2</f>
        <v>0.28412999999999999</v>
      </c>
      <c r="I45" s="104">
        <f>F45/'PAG100 FE GE'!$D$3</f>
        <v>1.6800000000000002E-5</v>
      </c>
      <c r="J45" s="106">
        <f>G45/'PAG100 FE GE'!$D$4</f>
        <v>2.3825503355704697E-6</v>
      </c>
      <c r="K45" s="111">
        <f>H45*'PAG100 FE GE'!$E$2+'FE DEFRA A1. Fuel Eq (2)'!I45*'PAG100 FE GE'!$E$3+J45*'PAG100 FE GE'!$E$4</f>
        <v>0.28524915624161074</v>
      </c>
      <c r="L45" s="111">
        <f>H45*'PAG20 FE GE'!$E$2+'FE DEFRA A1. Fuel Eq (2)'!I45*'PAG20 FE GE'!$E$3+J45*'PAG20 FE GE'!$E$4</f>
        <v>0.28614459624161076</v>
      </c>
      <c r="M45" s="111">
        <f>H45*'PAG100 FE GE'!$D$2+'FE DEFRA A1. Fuel Eq (2)'!I45*'PAG100 FE GE'!$D$3+J45*'PAG100 FE GE'!$D$4</f>
        <v>0.28523177583892617</v>
      </c>
      <c r="N45" s="111">
        <f>H45*'PAG20 FE GE'!$D$2+'FE DEFRA A1. Fuel Eq (2)'!I45*'PAG20 FE GE'!$D$3+J45*'PAG20 FE GE'!$D$4</f>
        <v>0.2861869932885906</v>
      </c>
      <c r="O45" s="111">
        <f>H45*'PAG100 FE GE'!$C$2+'FE DEFRA A1. Fuel Eq (2)'!I45*'PAG100 FE GE'!$C$3+J45*'PAG100 FE GE'!$C$4</f>
        <v>0.28525999999999996</v>
      </c>
      <c r="P45" s="112">
        <f>H45*'PAG20 FE GE'!$C$2+'FE DEFRA A1. Fuel Eq (2)'!I45*'PAG20 FE GE'!$C$3+J45*'PAG20 FE GE'!$C$4</f>
        <v>0.28602815704697981</v>
      </c>
    </row>
    <row r="46" spans="1:16" x14ac:dyDescent="0.25">
      <c r="A46" s="110" t="s">
        <v>119</v>
      </c>
      <c r="B46" s="105" t="s">
        <v>149</v>
      </c>
      <c r="C46" s="127" t="s">
        <v>134</v>
      </c>
      <c r="D46" s="205" t="str">
        <f t="shared" si="0"/>
        <v>Fuel oil:kWh (Gross CV)</v>
      </c>
      <c r="E46" s="104">
        <v>0.26708999999999999</v>
      </c>
      <c r="F46" s="104">
        <v>4.4800000000000005E-4</v>
      </c>
      <c r="G46" s="104">
        <v>5.9580536912751678E-4</v>
      </c>
      <c r="H46" s="104">
        <f>E46/'PAG100 FE GE'!$D$2</f>
        <v>0.26708999999999999</v>
      </c>
      <c r="I46" s="104">
        <f>F46/'PAG100 FE GE'!$D$3</f>
        <v>1.6000000000000003E-5</v>
      </c>
      <c r="J46" s="106">
        <f>G46/'PAG100 FE GE'!$D$4</f>
        <v>2.2483221476510068E-6</v>
      </c>
      <c r="K46" s="111">
        <f>H46*'PAG100 FE GE'!$E$2+'FE DEFRA A1. Fuel Eq (2)'!I46*'PAG100 FE GE'!$E$3+J46*'PAG100 FE GE'!$E$4</f>
        <v>0.26815019194630874</v>
      </c>
      <c r="L46" s="111">
        <f>H46*'PAG20 FE GE'!$E$2+'FE DEFRA A1. Fuel Eq (2)'!I46*'PAG20 FE GE'!$E$3+J46*'PAG20 FE GE'!$E$4</f>
        <v>0.26900299194630872</v>
      </c>
      <c r="M46" s="111">
        <f>H46*'PAG100 FE GE'!$D$2+'FE DEFRA A1. Fuel Eq (2)'!I46*'PAG100 FE GE'!$D$3+J46*'PAG100 FE GE'!$D$4</f>
        <v>0.26813380536912751</v>
      </c>
      <c r="N46" s="111">
        <f>H46*'PAG20 FE GE'!$D$2+'FE DEFRA A1. Fuel Eq (2)'!I46*'PAG20 FE GE'!$D$3+J46*'PAG20 FE GE'!$D$4</f>
        <v>0.26904355704697991</v>
      </c>
      <c r="O46" s="111">
        <f>H46*'PAG100 FE GE'!$C$2+'FE DEFRA A1. Fuel Eq (2)'!I46*'PAG100 FE GE'!$C$3+J46*'PAG100 FE GE'!$C$4</f>
        <v>0.26816000000000001</v>
      </c>
      <c r="P46" s="112">
        <f>H46*'PAG20 FE GE'!$C$2+'FE DEFRA A1. Fuel Eq (2)'!I46*'PAG20 FE GE'!$C$3+J46*'PAG20 FE GE'!$C$4</f>
        <v>0.26889176510067114</v>
      </c>
    </row>
    <row r="47" spans="1:16" x14ac:dyDescent="0.25">
      <c r="A47" s="110" t="s">
        <v>119</v>
      </c>
      <c r="B47" s="105" t="s">
        <v>150</v>
      </c>
      <c r="C47" s="127" t="s">
        <v>131</v>
      </c>
      <c r="D47" s="205" t="str">
        <f t="shared" si="0"/>
        <v>Gas oil:tonnes</v>
      </c>
      <c r="E47" s="104">
        <v>3190</v>
      </c>
      <c r="F47" s="104">
        <v>3.6848000000000005</v>
      </c>
      <c r="G47" s="104">
        <v>32.893791946308724</v>
      </c>
      <c r="H47" s="104">
        <f>E47/'PAG100 FE GE'!$D$2</f>
        <v>3190</v>
      </c>
      <c r="I47" s="104">
        <f>F47/'PAG100 FE GE'!$D$3</f>
        <v>0.13160000000000002</v>
      </c>
      <c r="J47" s="106">
        <f>G47/'PAG100 FE GE'!$D$4</f>
        <v>0.12412751677852349</v>
      </c>
      <c r="K47" s="111">
        <f>H47*'PAG100 FE GE'!$E$2+'FE DEFRA A1. Fuel Eq (2)'!I47*'PAG100 FE GE'!$E$3+J47*'PAG100 FE GE'!$E$4</f>
        <v>3227.5584520805369</v>
      </c>
      <c r="L47" s="111">
        <f>H47*'PAG20 FE GE'!$E$2+'FE DEFRA A1. Fuel Eq (2)'!I47*'PAG20 FE GE'!$E$3+J47*'PAG20 FE GE'!$E$4</f>
        <v>3234.5727320805368</v>
      </c>
      <c r="M47" s="111">
        <f>H47*'PAG100 FE GE'!$D$2+'FE DEFRA A1. Fuel Eq (2)'!I47*'PAG100 FE GE'!$D$3+J47*'PAG100 FE GE'!$D$4</f>
        <v>3226.5785919463087</v>
      </c>
      <c r="N47" s="111">
        <f>H47*'PAG20 FE GE'!$D$2+'FE DEFRA A1. Fuel Eq (2)'!I47*'PAG20 FE GE'!$D$3+J47*'PAG20 FE GE'!$D$4</f>
        <v>3233.9556644295303</v>
      </c>
      <c r="O47" s="111">
        <f>H47*'PAG100 FE GE'!$C$2+'FE DEFRA A1. Fuel Eq (2)'!I47*'PAG100 FE GE'!$C$3+J47*'PAG100 FE GE'!$C$4</f>
        <v>3230.2799999999997</v>
      </c>
      <c r="P47" s="112">
        <f>H47*'PAG20 FE GE'!$C$2+'FE DEFRA A1. Fuel Eq (2)'!I47*'PAG20 FE GE'!$C$3+J47*'PAG20 FE GE'!$C$4</f>
        <v>3235.348052348993</v>
      </c>
    </row>
    <row r="48" spans="1:16" x14ac:dyDescent="0.25">
      <c r="A48" s="110" t="s">
        <v>119</v>
      </c>
      <c r="B48" s="105" t="s">
        <v>150</v>
      </c>
      <c r="C48" s="127" t="s">
        <v>55</v>
      </c>
      <c r="D48" s="205" t="str">
        <f t="shared" si="0"/>
        <v>Gas oil:l</v>
      </c>
      <c r="E48" s="104">
        <f>E47/1000</f>
        <v>3.19</v>
      </c>
      <c r="F48" s="104">
        <f t="shared" ref="F48:G48" si="13">F47/1000</f>
        <v>3.6848000000000007E-3</v>
      </c>
      <c r="G48" s="104">
        <f t="shared" si="13"/>
        <v>3.2893791946308724E-2</v>
      </c>
      <c r="H48" s="104">
        <f>E48/'PAG100 FE GE'!$D$2</f>
        <v>3.19</v>
      </c>
      <c r="I48" s="104">
        <f>F48/'PAG100 FE GE'!$D$3</f>
        <v>1.3160000000000003E-4</v>
      </c>
      <c r="J48" s="106">
        <f>G48/'PAG100 FE GE'!$D$4</f>
        <v>1.2412751677852348E-4</v>
      </c>
      <c r="K48" s="111">
        <f>H48*'PAG100 FE GE'!$E$2+'FE DEFRA A1. Fuel Eq (2)'!I48*'PAG100 FE GE'!$E$3+J48*'PAG100 FE GE'!$E$4</f>
        <v>3.2275584520805367</v>
      </c>
      <c r="L48" s="111">
        <f>H48*'PAG20 FE GE'!$E$2+'FE DEFRA A1. Fuel Eq (2)'!I48*'PAG20 FE GE'!$E$3+J48*'PAG20 FE GE'!$E$4</f>
        <v>3.2345727320805366</v>
      </c>
      <c r="M48" s="111">
        <f>H48*'PAG100 FE GE'!$D$2+'FE DEFRA A1. Fuel Eq (2)'!I48*'PAG100 FE GE'!$D$3+J48*'PAG100 FE GE'!$D$4</f>
        <v>3.2265785919463084</v>
      </c>
      <c r="N48" s="111">
        <f>H48*'PAG20 FE GE'!$D$2+'FE DEFRA A1. Fuel Eq (2)'!I48*'PAG20 FE GE'!$D$3+J48*'PAG20 FE GE'!$D$4</f>
        <v>3.23395566442953</v>
      </c>
      <c r="O48" s="111">
        <f>H48*'PAG100 FE GE'!$C$2+'FE DEFRA A1. Fuel Eq (2)'!I48*'PAG100 FE GE'!$C$3+J48*'PAG100 FE GE'!$C$4</f>
        <v>3.2302799999999996</v>
      </c>
      <c r="P48" s="112">
        <f>H48*'PAG20 FE GE'!$C$2+'FE DEFRA A1. Fuel Eq (2)'!I48*'PAG20 FE GE'!$C$3+J48*'PAG20 FE GE'!$C$4</f>
        <v>3.2353480523489928</v>
      </c>
    </row>
    <row r="49" spans="1:16" x14ac:dyDescent="0.25">
      <c r="A49" s="110" t="s">
        <v>119</v>
      </c>
      <c r="B49" s="105" t="s">
        <v>150</v>
      </c>
      <c r="C49" s="127" t="s">
        <v>132</v>
      </c>
      <c r="D49" s="205" t="str">
        <f t="shared" si="0"/>
        <v>Gas oil:litres</v>
      </c>
      <c r="E49" s="104">
        <v>2.72417</v>
      </c>
      <c r="F49" s="104">
        <v>3.1472000000000002E-3</v>
      </c>
      <c r="G49" s="104">
        <v>2.8091778523489933E-2</v>
      </c>
      <c r="H49" s="104">
        <f>E49/'PAG100 FE GE'!$D$2</f>
        <v>2.72417</v>
      </c>
      <c r="I49" s="104">
        <f>F49/'PAG100 FE GE'!$D$3</f>
        <v>1.1240000000000001E-4</v>
      </c>
      <c r="J49" s="106">
        <f>G49/'PAG100 FE GE'!$D$4</f>
        <v>1.0600671140939598E-4</v>
      </c>
      <c r="K49" s="111">
        <f>H49*'PAG100 FE GE'!$E$2+'FE DEFRA A1. Fuel Eq (2)'!I49*'PAG100 FE GE'!$E$3+J49*'PAG100 FE GE'!$E$4</f>
        <v>2.7562457922147647</v>
      </c>
      <c r="L49" s="111">
        <f>H49*'PAG20 FE GE'!$E$2+'FE DEFRA A1. Fuel Eq (2)'!I49*'PAG20 FE GE'!$E$3+J49*'PAG20 FE GE'!$E$4</f>
        <v>2.7622367122147651</v>
      </c>
      <c r="M49" s="111">
        <f>H49*'PAG100 FE GE'!$D$2+'FE DEFRA A1. Fuel Eq (2)'!I49*'PAG100 FE GE'!$D$3+J49*'PAG100 FE GE'!$D$4</f>
        <v>2.7554089785234899</v>
      </c>
      <c r="N49" s="111">
        <f>H49*'PAG20 FE GE'!$D$2+'FE DEFRA A1. Fuel Eq (2)'!I49*'PAG20 FE GE'!$D$3+J49*'PAG20 FE GE'!$D$4</f>
        <v>2.7617097718120807</v>
      </c>
      <c r="O49" s="111">
        <f>H49*'PAG100 FE GE'!$C$2+'FE DEFRA A1. Fuel Eq (2)'!I49*'PAG100 FE GE'!$C$3+J49*'PAG100 FE GE'!$C$4</f>
        <v>2.7585700000000002</v>
      </c>
      <c r="P49" s="112">
        <f>H49*'PAG20 FE GE'!$C$2+'FE DEFRA A1. Fuel Eq (2)'!I49*'PAG20 FE GE'!$C$3+J49*'PAG20 FE GE'!$C$4</f>
        <v>2.7628987395973152</v>
      </c>
    </row>
    <row r="50" spans="1:16" x14ac:dyDescent="0.25">
      <c r="A50" s="110" t="s">
        <v>119</v>
      </c>
      <c r="B50" s="105" t="s">
        <v>150</v>
      </c>
      <c r="C50" s="127" t="s">
        <v>133</v>
      </c>
      <c r="D50" s="205" t="str">
        <f t="shared" si="0"/>
        <v>Gas oil:kWh (Net CV)</v>
      </c>
      <c r="E50" s="104">
        <v>0.26978000000000002</v>
      </c>
      <c r="F50" s="104">
        <v>3.1359999999999998E-4</v>
      </c>
      <c r="G50" s="104">
        <v>2.7833892617449662E-3</v>
      </c>
      <c r="H50" s="104">
        <f>E50/'PAG100 FE GE'!$D$2</f>
        <v>0.26978000000000002</v>
      </c>
      <c r="I50" s="104">
        <f>F50/'PAG100 FE GE'!$D$3</f>
        <v>1.1199999999999999E-5</v>
      </c>
      <c r="J50" s="106">
        <f>G50/'PAG100 FE GE'!$D$4</f>
        <v>1.0503355704697985E-5</v>
      </c>
      <c r="K50" s="111">
        <f>H50*'PAG100 FE GE'!$E$2+'FE DEFRA A1. Fuel Eq (2)'!I50*'PAG100 FE GE'!$E$3+J50*'PAG100 FE GE'!$E$4</f>
        <v>0.27295989610738258</v>
      </c>
      <c r="L50" s="111">
        <f>H50*'PAG20 FE GE'!$E$2+'FE DEFRA A1. Fuel Eq (2)'!I50*'PAG20 FE GE'!$E$3+J50*'PAG20 FE GE'!$E$4</f>
        <v>0.27355685610738256</v>
      </c>
      <c r="M50" s="111">
        <f>H50*'PAG100 FE GE'!$D$2+'FE DEFRA A1. Fuel Eq (2)'!I50*'PAG100 FE GE'!$D$3+J50*'PAG100 FE GE'!$D$4</f>
        <v>0.27287698926174503</v>
      </c>
      <c r="N50" s="111">
        <f>H50*'PAG20 FE GE'!$D$2+'FE DEFRA A1. Fuel Eq (2)'!I50*'PAG20 FE GE'!$D$3+J50*'PAG20 FE GE'!$D$4</f>
        <v>0.27350488590604027</v>
      </c>
      <c r="O50" s="111">
        <f>H50*'PAG100 FE GE'!$C$2+'FE DEFRA A1. Fuel Eq (2)'!I50*'PAG100 FE GE'!$C$3+J50*'PAG100 FE GE'!$C$4</f>
        <v>0.27319000000000004</v>
      </c>
      <c r="P50" s="112">
        <f>H50*'PAG20 FE GE'!$C$2+'FE DEFRA A1. Fuel Eq (2)'!I50*'PAG20 FE GE'!$C$3+J50*'PAG20 FE GE'!$C$4</f>
        <v>0.27362186979865771</v>
      </c>
    </row>
    <row r="51" spans="1:16" x14ac:dyDescent="0.25">
      <c r="A51" s="110" t="s">
        <v>119</v>
      </c>
      <c r="B51" s="105" t="s">
        <v>150</v>
      </c>
      <c r="C51" s="127" t="s">
        <v>134</v>
      </c>
      <c r="D51" s="205" t="str">
        <f t="shared" si="0"/>
        <v>Gas oil:kWh (Gross CV)</v>
      </c>
      <c r="E51" s="104">
        <v>0.25358999999999998</v>
      </c>
      <c r="F51" s="104">
        <v>2.9119999999999998E-4</v>
      </c>
      <c r="G51" s="104">
        <v>2.6144295302013422E-3</v>
      </c>
      <c r="H51" s="104">
        <f>E51/'PAG100 FE GE'!$D$2</f>
        <v>0.25358999999999998</v>
      </c>
      <c r="I51" s="104">
        <f>F51/'PAG100 FE GE'!$D$3</f>
        <v>1.0399999999999999E-5</v>
      </c>
      <c r="J51" s="106">
        <f>G51/'PAG100 FE GE'!$D$4</f>
        <v>9.8657718120805362E-6</v>
      </c>
      <c r="K51" s="111">
        <f>H51*'PAG100 FE GE'!$E$2+'FE DEFRA A1. Fuel Eq (2)'!I51*'PAG100 FE GE'!$E$3+J51*'PAG100 FE GE'!$E$4</f>
        <v>0.25657351570469794</v>
      </c>
      <c r="L51" s="111">
        <f>H51*'PAG20 FE GE'!$E$2+'FE DEFRA A1. Fuel Eq (2)'!I51*'PAG20 FE GE'!$E$3+J51*'PAG20 FE GE'!$E$4</f>
        <v>0.25712783570469794</v>
      </c>
      <c r="M51" s="111">
        <f>H51*'PAG100 FE GE'!$D$2+'FE DEFRA A1. Fuel Eq (2)'!I51*'PAG100 FE GE'!$D$3+J51*'PAG100 FE GE'!$D$4</f>
        <v>0.25649562953020133</v>
      </c>
      <c r="N51" s="111">
        <f>H51*'PAG20 FE GE'!$D$2+'FE DEFRA A1. Fuel Eq (2)'!I51*'PAG20 FE GE'!$D$3+J51*'PAG20 FE GE'!$D$4</f>
        <v>0.25707856375838922</v>
      </c>
      <c r="O51" s="111">
        <f>H51*'PAG100 FE GE'!$C$2+'FE DEFRA A1. Fuel Eq (2)'!I51*'PAG100 FE GE'!$C$3+J51*'PAG100 FE GE'!$C$4</f>
        <v>0.25678999999999996</v>
      </c>
      <c r="P51" s="112">
        <f>H51*'PAG20 FE GE'!$C$2+'FE DEFRA A1. Fuel Eq (2)'!I51*'PAG20 FE GE'!$C$3+J51*'PAG20 FE GE'!$C$4</f>
        <v>0.25719000805369124</v>
      </c>
    </row>
    <row r="52" spans="1:16" x14ac:dyDescent="0.25">
      <c r="A52" s="110" t="s">
        <v>119</v>
      </c>
      <c r="B52" s="105" t="s">
        <v>42</v>
      </c>
      <c r="C52" s="127" t="s">
        <v>131</v>
      </c>
      <c r="D52" s="205" t="str">
        <f t="shared" si="0"/>
        <v>Gasolina:tonnes</v>
      </c>
      <c r="E52" s="104">
        <v>2787.93</v>
      </c>
      <c r="F52" s="104">
        <v>10.841600000000001</v>
      </c>
      <c r="G52" s="104">
        <v>7.8877516778523482</v>
      </c>
      <c r="H52" s="104">
        <f>E52/'PAG100 FE GE'!$D$2</f>
        <v>2787.93</v>
      </c>
      <c r="I52" s="104">
        <f>F52/'PAG100 FE GE'!$D$3</f>
        <v>0.38720000000000004</v>
      </c>
      <c r="J52" s="106">
        <f>G52/'PAG100 FE GE'!$D$4</f>
        <v>2.9765100671140937E-2</v>
      </c>
      <c r="K52" s="111">
        <f>H52*'PAG100 FE GE'!$E$2+'FE DEFRA A1. Fuel Eq (2)'!I52*'PAG100 FE GE'!$E$3+J52*'PAG100 FE GE'!$E$4</f>
        <v>2806.8587524832215</v>
      </c>
      <c r="L52" s="111">
        <f>H52*'PAG20 FE GE'!$E$2+'FE DEFRA A1. Fuel Eq (2)'!I52*'PAG20 FE GE'!$E$3+J52*'PAG20 FE GE'!$E$4</f>
        <v>2827.4965124832211</v>
      </c>
      <c r="M52" s="111">
        <f>H52*'PAG100 FE GE'!$D$2+'FE DEFRA A1. Fuel Eq (2)'!I52*'PAG100 FE GE'!$D$3+J52*'PAG100 FE GE'!$D$4</f>
        <v>2806.6593516778526</v>
      </c>
      <c r="N52" s="111">
        <f>H52*'PAG20 FE GE'!$D$2+'FE DEFRA A1. Fuel Eq (2)'!I52*'PAG20 FE GE'!$D$3+J52*'PAG20 FE GE'!$D$4</f>
        <v>2828.6999865771809</v>
      </c>
      <c r="O52" s="111">
        <f>H52*'PAG100 FE GE'!$C$2+'FE DEFRA A1. Fuel Eq (2)'!I52*'PAG100 FE GE'!$C$3+J52*'PAG100 FE GE'!$C$4</f>
        <v>2806.4799999999996</v>
      </c>
      <c r="P52" s="112">
        <f>H52*'PAG20 FE GE'!$C$2+'FE DEFRA A1. Fuel Eq (2)'!I52*'PAG20 FE GE'!$C$3+J52*'PAG20 FE GE'!$C$4</f>
        <v>2824.4105140939596</v>
      </c>
    </row>
    <row r="53" spans="1:16" x14ac:dyDescent="0.25">
      <c r="A53" s="110" t="s">
        <v>119</v>
      </c>
      <c r="B53" s="105" t="s">
        <v>42</v>
      </c>
      <c r="C53" s="127" t="s">
        <v>57</v>
      </c>
      <c r="D53" s="205" t="str">
        <f t="shared" si="0"/>
        <v>Gasolina:kg</v>
      </c>
      <c r="E53" s="104">
        <f>E52/1000</f>
        <v>2.7879299999999998</v>
      </c>
      <c r="F53" s="104">
        <f t="shared" ref="F53:G53" si="14">F52/1000</f>
        <v>1.0841600000000002E-2</v>
      </c>
      <c r="G53" s="104">
        <f t="shared" si="14"/>
        <v>7.887751677852349E-3</v>
      </c>
      <c r="H53" s="104">
        <f>E53/'PAG100 FE GE'!$D$2</f>
        <v>2.7879299999999998</v>
      </c>
      <c r="I53" s="104">
        <f>F53/'PAG100 FE GE'!$D$3</f>
        <v>3.8720000000000003E-4</v>
      </c>
      <c r="J53" s="106">
        <f>G53/'PAG100 FE GE'!$D$4</f>
        <v>2.9765100671140939E-5</v>
      </c>
      <c r="K53" s="111">
        <f>H53*'PAG100 FE GE'!$E$2+'FE DEFRA A1. Fuel Eq (2)'!I53*'PAG100 FE GE'!$E$3+J53*'PAG100 FE GE'!$E$4</f>
        <v>2.8068587524832211</v>
      </c>
      <c r="L53" s="111">
        <f>H53*'PAG20 FE GE'!$E$2+'FE DEFRA A1. Fuel Eq (2)'!I53*'PAG20 FE GE'!$E$3+J53*'PAG20 FE GE'!$E$4</f>
        <v>2.8274965124832212</v>
      </c>
      <c r="M53" s="111">
        <f>H53*'PAG100 FE GE'!$D$2+'FE DEFRA A1. Fuel Eq (2)'!I53*'PAG100 FE GE'!$D$3+J53*'PAG100 FE GE'!$D$4</f>
        <v>2.806659351677852</v>
      </c>
      <c r="N53" s="111">
        <f>H53*'PAG20 FE GE'!$D$2+'FE DEFRA A1. Fuel Eq (2)'!I53*'PAG20 FE GE'!$D$3+J53*'PAG20 FE GE'!$D$4</f>
        <v>2.8286999865771811</v>
      </c>
      <c r="O53" s="111">
        <f>H53*'PAG100 FE GE'!$C$2+'FE DEFRA A1. Fuel Eq (2)'!I53*'PAG100 FE GE'!$C$3+J53*'PAG100 FE GE'!$C$4</f>
        <v>2.8064799999999996</v>
      </c>
      <c r="P53" s="112">
        <f>H53*'PAG20 FE GE'!$C$2+'FE DEFRA A1. Fuel Eq (2)'!I53*'PAG20 FE GE'!$C$3+J53*'PAG20 FE GE'!$C$4</f>
        <v>2.8244105140939597</v>
      </c>
    </row>
    <row r="54" spans="1:16" x14ac:dyDescent="0.25">
      <c r="A54" s="110" t="s">
        <v>119</v>
      </c>
      <c r="B54" s="105" t="s">
        <v>42</v>
      </c>
      <c r="C54" s="127" t="s">
        <v>55</v>
      </c>
      <c r="D54" s="205" t="str">
        <f t="shared" si="0"/>
        <v>Gasolina:l</v>
      </c>
      <c r="E54" s="104">
        <v>2.0835400000000002</v>
      </c>
      <c r="F54" s="104">
        <v>8.064E-3</v>
      </c>
      <c r="G54" s="104">
        <v>5.8691275167785236E-3</v>
      </c>
      <c r="H54" s="104">
        <f>E54/'PAG100 FE GE'!$D$2</f>
        <v>2.0835400000000002</v>
      </c>
      <c r="I54" s="104">
        <f>F54/'PAG100 FE GE'!$D$3</f>
        <v>2.8800000000000001E-4</v>
      </c>
      <c r="J54" s="106">
        <f>G54/'PAG100 FE GE'!$D$4</f>
        <v>2.2147651006711409E-5</v>
      </c>
      <c r="K54" s="111">
        <f>H54*'PAG100 FE GE'!$E$2+'FE DEFRA A1. Fuel Eq (2)'!I54*'PAG100 FE GE'!$E$3+J54*'PAG100 FE GE'!$E$4</f>
        <v>2.0976215087248327</v>
      </c>
      <c r="L54" s="111">
        <f>H54*'PAG20 FE GE'!$E$2+'FE DEFRA A1. Fuel Eq (2)'!I54*'PAG20 FE GE'!$E$3+J54*'PAG20 FE GE'!$E$4</f>
        <v>2.1129719087248326</v>
      </c>
      <c r="M54" s="111">
        <f>H54*'PAG100 FE GE'!$D$2+'FE DEFRA A1. Fuel Eq (2)'!I54*'PAG100 FE GE'!$D$3+J54*'PAG100 FE GE'!$D$4</f>
        <v>2.0974731275167788</v>
      </c>
      <c r="N54" s="111">
        <f>H54*'PAG20 FE GE'!$D$2+'FE DEFRA A1. Fuel Eq (2)'!I54*'PAG20 FE GE'!$D$3+J54*'PAG20 FE GE'!$D$4</f>
        <v>2.1138669798657719</v>
      </c>
      <c r="O54" s="111">
        <f>H54*'PAG100 FE GE'!$C$2+'FE DEFRA A1. Fuel Eq (2)'!I54*'PAG100 FE GE'!$C$3+J54*'PAG100 FE GE'!$C$4</f>
        <v>2.0973400000000004</v>
      </c>
      <c r="P54" s="112">
        <f>H54*'PAG20 FE GE'!$C$2+'FE DEFRA A1. Fuel Eq (2)'!I54*'PAG20 FE GE'!$C$3+J54*'PAG20 FE GE'!$C$4</f>
        <v>2.1106766711409395</v>
      </c>
    </row>
    <row r="55" spans="1:16" x14ac:dyDescent="0.25">
      <c r="A55" s="110" t="s">
        <v>119</v>
      </c>
      <c r="B55" s="105" t="s">
        <v>42</v>
      </c>
      <c r="C55" s="127" t="s">
        <v>133</v>
      </c>
      <c r="D55" s="205" t="str">
        <f t="shared" si="0"/>
        <v>Gasolina:kWh (Net CV)</v>
      </c>
      <c r="E55" s="104">
        <v>0.23241999999999999</v>
      </c>
      <c r="F55" s="104">
        <v>8.9600000000000009E-4</v>
      </c>
      <c r="G55" s="104">
        <v>6.4916107382550331E-4</v>
      </c>
      <c r="H55" s="104">
        <f>E55/'PAG100 FE GE'!$D$2</f>
        <v>0.23241999999999999</v>
      </c>
      <c r="I55" s="104">
        <f>F55/'PAG100 FE GE'!$D$3</f>
        <v>3.2000000000000005E-5</v>
      </c>
      <c r="J55" s="106">
        <f>G55/'PAG100 FE GE'!$D$4</f>
        <v>2.4496644295302012E-6</v>
      </c>
      <c r="K55" s="111">
        <f>H55*'PAG100 FE GE'!$E$2+'FE DEFRA A1. Fuel Eq (2)'!I55*'PAG100 FE GE'!$E$3+J55*'PAG100 FE GE'!$E$4</f>
        <v>0.23398155838926174</v>
      </c>
      <c r="L55" s="111">
        <f>H55*'PAG20 FE GE'!$E$2+'FE DEFRA A1. Fuel Eq (2)'!I55*'PAG20 FE GE'!$E$3+J55*'PAG20 FE GE'!$E$4</f>
        <v>0.23568715838926174</v>
      </c>
      <c r="M55" s="111">
        <f>H55*'PAG100 FE GE'!$D$2+'FE DEFRA A1. Fuel Eq (2)'!I55*'PAG100 FE GE'!$D$3+J55*'PAG100 FE GE'!$D$4</f>
        <v>0.23396516107382551</v>
      </c>
      <c r="N55" s="111">
        <f>H55*'PAG20 FE GE'!$D$2+'FE DEFRA A1. Fuel Eq (2)'!I55*'PAG20 FE GE'!$D$3+J55*'PAG20 FE GE'!$D$4</f>
        <v>0.23578671140939597</v>
      </c>
      <c r="O55" s="111">
        <f>H55*'PAG100 FE GE'!$C$2+'FE DEFRA A1. Fuel Eq (2)'!I55*'PAG100 FE GE'!$C$3+J55*'PAG100 FE GE'!$C$4</f>
        <v>0.23394999999999999</v>
      </c>
      <c r="P55" s="112">
        <f>H55*'PAG20 FE GE'!$C$2+'FE DEFRA A1. Fuel Eq (2)'!I55*'PAG20 FE GE'!$C$3+J55*'PAG20 FE GE'!$C$4</f>
        <v>0.23543195302013423</v>
      </c>
    </row>
    <row r="56" spans="1:16" ht="15.75" thickBot="1" x14ac:dyDescent="0.3">
      <c r="A56" s="113" t="s">
        <v>119</v>
      </c>
      <c r="B56" s="107" t="s">
        <v>42</v>
      </c>
      <c r="C56" s="128" t="s">
        <v>134</v>
      </c>
      <c r="D56" s="205" t="str">
        <f t="shared" si="0"/>
        <v>Gasolina:kWh (Gross CV)</v>
      </c>
      <c r="E56" s="108">
        <v>0.22020999999999999</v>
      </c>
      <c r="F56" s="108">
        <v>8.4000000000000014E-4</v>
      </c>
      <c r="G56" s="108">
        <v>6.1359060402684559E-4</v>
      </c>
      <c r="H56" s="108">
        <f>E56/'PAG100 FE GE'!$D$2</f>
        <v>0.22020999999999999</v>
      </c>
      <c r="I56" s="108">
        <f>F56/'PAG100 FE GE'!$D$3</f>
        <v>3.0000000000000004E-5</v>
      </c>
      <c r="J56" s="109">
        <f>G56/'PAG100 FE GE'!$D$4</f>
        <v>2.3154362416107382E-6</v>
      </c>
      <c r="K56" s="114">
        <f>H56*'PAG100 FE GE'!$E$2+'FE DEFRA A1. Fuel Eq (2)'!I56*'PAG100 FE GE'!$E$3+J56*'PAG100 FE GE'!$E$4</f>
        <v>0.22167911409395971</v>
      </c>
      <c r="L56" s="114">
        <f>H56*'PAG20 FE GE'!$E$2+'FE DEFRA A1. Fuel Eq (2)'!I56*'PAG20 FE GE'!$E$3+J56*'PAG20 FE GE'!$E$4</f>
        <v>0.2232781140939597</v>
      </c>
      <c r="M56" s="114">
        <f>H56*'PAG100 FE GE'!$D$2+'FE DEFRA A1. Fuel Eq (2)'!I56*'PAG100 FE GE'!$D$3+J56*'PAG100 FE GE'!$D$4</f>
        <v>0.22166359060402685</v>
      </c>
      <c r="N56" s="114">
        <f>H56*'PAG20 FE GE'!$D$2+'FE DEFRA A1. Fuel Eq (2)'!I56*'PAG20 FE GE'!$D$3+J56*'PAG20 FE GE'!$D$4</f>
        <v>0.22337127516778521</v>
      </c>
      <c r="O56" s="114">
        <f>H56*'PAG100 FE GE'!$C$2+'FE DEFRA A1. Fuel Eq (2)'!I56*'PAG100 FE GE'!$C$3+J56*'PAG100 FE GE'!$C$4</f>
        <v>0.22164999999999999</v>
      </c>
      <c r="P56" s="115">
        <f>H56*'PAG20 FE GE'!$C$2+'FE DEFRA A1. Fuel Eq (2)'!I56*'PAG20 FE GE'!$C$3+J56*'PAG20 FE GE'!$C$4</f>
        <v>0.22303916107382549</v>
      </c>
    </row>
    <row r="112" spans="1:2" x14ac:dyDescent="0.25">
      <c r="A112" s="153"/>
      <c r="B112" s="153"/>
    </row>
    <row r="113" spans="1:2" x14ac:dyDescent="0.25">
      <c r="A113" s="153"/>
      <c r="B113" s="153"/>
    </row>
    <row r="114" spans="1:2" x14ac:dyDescent="0.25">
      <c r="A114" s="153"/>
      <c r="B114" s="153"/>
    </row>
    <row r="115" spans="1:2" x14ac:dyDescent="0.25">
      <c r="A115" s="153"/>
      <c r="B115" s="153"/>
    </row>
    <row r="116" spans="1:2" x14ac:dyDescent="0.25">
      <c r="A116" s="153"/>
      <c r="B116" s="153"/>
    </row>
    <row r="117" spans="1:2" x14ac:dyDescent="0.25">
      <c r="A117" s="153"/>
      <c r="B117" s="153"/>
    </row>
    <row r="118" spans="1:2" x14ac:dyDescent="0.25">
      <c r="A118" s="153"/>
      <c r="B118" s="153"/>
    </row>
    <row r="119" spans="1:2" x14ac:dyDescent="0.25">
      <c r="A119" s="153"/>
      <c r="B119" s="153"/>
    </row>
    <row r="120" spans="1:2" x14ac:dyDescent="0.25">
      <c r="A120" s="153"/>
      <c r="B120" s="153"/>
    </row>
    <row r="121" spans="1:2" x14ac:dyDescent="0.25">
      <c r="A121" s="153"/>
      <c r="B121" s="153"/>
    </row>
    <row r="122" spans="1:2" x14ac:dyDescent="0.25">
      <c r="A122" s="153"/>
      <c r="B122" s="153"/>
    </row>
    <row r="123" spans="1:2" x14ac:dyDescent="0.25">
      <c r="A123" s="153"/>
      <c r="B123" s="153"/>
    </row>
    <row r="124" spans="1:2" x14ac:dyDescent="0.25">
      <c r="A124" s="153"/>
      <c r="B124" s="153"/>
    </row>
    <row r="125" spans="1:2" x14ac:dyDescent="0.25">
      <c r="A125" s="153"/>
      <c r="B125" s="153"/>
    </row>
    <row r="126" spans="1:2" x14ac:dyDescent="0.25">
      <c r="A126" s="153"/>
      <c r="B126" s="153"/>
    </row>
    <row r="127" spans="1:2" x14ac:dyDescent="0.25">
      <c r="A127" s="153"/>
      <c r="B127" s="153"/>
    </row>
    <row r="128" spans="1:2" x14ac:dyDescent="0.25">
      <c r="A128" s="153"/>
      <c r="B128" s="153"/>
    </row>
    <row r="129" spans="1:2" x14ac:dyDescent="0.25">
      <c r="A129" s="153"/>
      <c r="B129" s="153"/>
    </row>
    <row r="130" spans="1:2" x14ac:dyDescent="0.25">
      <c r="A130" s="153"/>
      <c r="B130" s="153"/>
    </row>
    <row r="131" spans="1:2" x14ac:dyDescent="0.25">
      <c r="A131" s="153"/>
      <c r="B131" s="153"/>
    </row>
    <row r="132" spans="1:2" x14ac:dyDescent="0.25">
      <c r="A132" s="153"/>
      <c r="B132" s="153"/>
    </row>
    <row r="133" spans="1:2" x14ac:dyDescent="0.25">
      <c r="A133" s="153"/>
      <c r="B133" s="153"/>
    </row>
    <row r="134" spans="1:2" x14ac:dyDescent="0.25">
      <c r="A134" s="153"/>
      <c r="B134" s="153"/>
    </row>
    <row r="135" spans="1:2" x14ac:dyDescent="0.25">
      <c r="A135" s="153"/>
      <c r="B135" s="153"/>
    </row>
    <row r="136" spans="1:2" x14ac:dyDescent="0.25">
      <c r="A136" s="153"/>
      <c r="B136" s="153"/>
    </row>
    <row r="137" spans="1:2" x14ac:dyDescent="0.25">
      <c r="A137" s="153"/>
      <c r="B137" s="153"/>
    </row>
    <row r="138" spans="1:2" x14ac:dyDescent="0.25">
      <c r="A138" s="153"/>
      <c r="B138" s="153"/>
    </row>
    <row r="139" spans="1:2" x14ac:dyDescent="0.25">
      <c r="A139" s="153"/>
      <c r="B139" s="153"/>
    </row>
    <row r="140" spans="1:2" x14ac:dyDescent="0.25">
      <c r="A140" s="153"/>
      <c r="B140" s="153"/>
    </row>
  </sheetData>
  <mergeCells count="1">
    <mergeCell ref="Z1:AA1"/>
  </mergeCells>
  <pageMargins left="0.7" right="0.7" top="0.75" bottom="0.75" header="0.3" footer="0.3"/>
  <customProperties>
    <customPr name="GUID" r:id="rId1"/>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2"/>
  <dimension ref="A1:G16"/>
  <sheetViews>
    <sheetView workbookViewId="0"/>
  </sheetViews>
  <sheetFormatPr defaultRowHeight="15" x14ac:dyDescent="0.25"/>
  <cols>
    <col min="1" max="1" width="29.5703125" customWidth="1"/>
    <col min="2" max="2" width="21.5703125" customWidth="1"/>
    <col min="3" max="3" width="12.5703125" customWidth="1"/>
    <col min="5" max="5" width="12.140625" customWidth="1"/>
    <col min="6" max="6" width="12" customWidth="1"/>
    <col min="7" max="7" width="12.42578125" customWidth="1"/>
  </cols>
  <sheetData>
    <row r="1" spans="1:7" x14ac:dyDescent="0.25">
      <c r="A1" s="30" t="s">
        <v>102</v>
      </c>
      <c r="B1" s="31" t="s">
        <v>103</v>
      </c>
      <c r="C1" s="31" t="s">
        <v>82</v>
      </c>
      <c r="D1" s="31" t="s">
        <v>104</v>
      </c>
      <c r="E1" s="31" t="s">
        <v>112</v>
      </c>
      <c r="F1" s="31" t="s">
        <v>113</v>
      </c>
      <c r="G1" s="32" t="s">
        <v>114</v>
      </c>
    </row>
    <row r="2" spans="1:7" x14ac:dyDescent="0.25">
      <c r="A2" s="33" t="s">
        <v>105</v>
      </c>
      <c r="B2" s="34" t="s">
        <v>106</v>
      </c>
      <c r="C2" s="34" t="s">
        <v>44</v>
      </c>
      <c r="D2" s="34" t="s">
        <v>108</v>
      </c>
      <c r="E2" s="34">
        <v>63.1</v>
      </c>
      <c r="F2" s="34">
        <f t="shared" ref="F2:F3" si="0">0.9/1000</f>
        <v>8.9999999999999998E-4</v>
      </c>
      <c r="G2" s="35">
        <f>4/1000</f>
        <v>4.0000000000000001E-3</v>
      </c>
    </row>
    <row r="3" spans="1:7" x14ac:dyDescent="0.25">
      <c r="A3" s="36" t="s">
        <v>105</v>
      </c>
      <c r="B3" s="37" t="s">
        <v>107</v>
      </c>
      <c r="C3" s="37" t="s">
        <v>44</v>
      </c>
      <c r="D3" s="37" t="s">
        <v>108</v>
      </c>
      <c r="E3" s="37">
        <v>63.1</v>
      </c>
      <c r="F3" s="37">
        <f t="shared" si="0"/>
        <v>8.9999999999999998E-4</v>
      </c>
      <c r="G3" s="35">
        <f>4/1000</f>
        <v>4.0000000000000001E-3</v>
      </c>
    </row>
    <row r="4" spans="1:7" x14ac:dyDescent="0.25">
      <c r="A4" s="33" t="s">
        <v>105</v>
      </c>
      <c r="B4" s="34" t="s">
        <v>106</v>
      </c>
      <c r="C4" s="34" t="s">
        <v>109</v>
      </c>
      <c r="D4" s="34" t="s">
        <v>108</v>
      </c>
      <c r="E4" s="34">
        <v>56.4</v>
      </c>
      <c r="F4" s="34">
        <f>1/1000</f>
        <v>1E-3</v>
      </c>
      <c r="G4" s="35">
        <f>1/1000</f>
        <v>1E-3</v>
      </c>
    </row>
    <row r="5" spans="1:7" x14ac:dyDescent="0.25">
      <c r="A5" s="36" t="s">
        <v>105</v>
      </c>
      <c r="B5" s="37" t="s">
        <v>111</v>
      </c>
      <c r="C5" s="37" t="s">
        <v>109</v>
      </c>
      <c r="D5" s="37" t="s">
        <v>108</v>
      </c>
      <c r="E5" s="37">
        <v>56.4</v>
      </c>
      <c r="F5" s="34">
        <f t="shared" ref="F5:F6" si="1">1/1000</f>
        <v>1E-3</v>
      </c>
      <c r="G5" s="35">
        <f>1/1000</f>
        <v>1E-3</v>
      </c>
    </row>
    <row r="6" spans="1:7" x14ac:dyDescent="0.25">
      <c r="A6" s="33" t="s">
        <v>105</v>
      </c>
      <c r="B6" s="34" t="s">
        <v>107</v>
      </c>
      <c r="C6" s="34" t="s">
        <v>109</v>
      </c>
      <c r="D6" s="34" t="s">
        <v>108</v>
      </c>
      <c r="E6" s="34">
        <v>56.4</v>
      </c>
      <c r="F6" s="34">
        <f t="shared" si="1"/>
        <v>1E-3</v>
      </c>
      <c r="G6" s="35">
        <f>1/1000</f>
        <v>1E-3</v>
      </c>
    </row>
    <row r="7" spans="1:7" x14ac:dyDescent="0.25">
      <c r="A7" s="36" t="s">
        <v>105</v>
      </c>
      <c r="B7" s="37" t="s">
        <v>110</v>
      </c>
      <c r="C7" s="37" t="s">
        <v>109</v>
      </c>
      <c r="D7" s="37" t="s">
        <v>108</v>
      </c>
      <c r="E7" s="37">
        <v>56.4</v>
      </c>
      <c r="F7" s="37">
        <f>0.3/1000</f>
        <v>2.9999999999999997E-4</v>
      </c>
      <c r="G7" s="38">
        <f>0.1/1000</f>
        <v>1E-4</v>
      </c>
    </row>
    <row r="8" spans="1:7" x14ac:dyDescent="0.25">
      <c r="A8" s="33" t="s">
        <v>105</v>
      </c>
      <c r="B8" s="34" t="s">
        <v>106</v>
      </c>
      <c r="C8" s="34" t="s">
        <v>115</v>
      </c>
      <c r="D8" s="34" t="s">
        <v>108</v>
      </c>
      <c r="E8" s="34">
        <v>44.4</v>
      </c>
      <c r="F8" s="34">
        <f>5/1000</f>
        <v>5.0000000000000001E-3</v>
      </c>
      <c r="G8" s="38">
        <f>0.1/1000</f>
        <v>1E-4</v>
      </c>
    </row>
    <row r="9" spans="1:7" x14ac:dyDescent="0.25">
      <c r="A9" s="36" t="s">
        <v>105</v>
      </c>
      <c r="B9" s="37" t="s">
        <v>111</v>
      </c>
      <c r="C9" s="37" t="s">
        <v>115</v>
      </c>
      <c r="D9" s="37" t="s">
        <v>108</v>
      </c>
      <c r="E9" s="37">
        <v>44.4</v>
      </c>
      <c r="F9" s="34">
        <f>5/1000</f>
        <v>5.0000000000000001E-3</v>
      </c>
      <c r="G9" s="38">
        <f>0.1/1000</f>
        <v>1E-4</v>
      </c>
    </row>
    <row r="10" spans="1:7" x14ac:dyDescent="0.25">
      <c r="A10" s="33" t="s">
        <v>105</v>
      </c>
      <c r="B10" s="34" t="s">
        <v>107</v>
      </c>
      <c r="C10" s="34" t="s">
        <v>115</v>
      </c>
      <c r="D10" s="34" t="s">
        <v>108</v>
      </c>
      <c r="E10" s="34">
        <v>44.4</v>
      </c>
      <c r="F10" s="34">
        <f>5/1000</f>
        <v>5.0000000000000001E-3</v>
      </c>
      <c r="G10" s="38">
        <f>0.1/1000</f>
        <v>1E-4</v>
      </c>
    </row>
    <row r="11" spans="1:7" x14ac:dyDescent="0.25">
      <c r="A11" s="36" t="s">
        <v>105</v>
      </c>
      <c r="B11" s="37" t="s">
        <v>110</v>
      </c>
      <c r="C11" s="37" t="s">
        <v>115</v>
      </c>
      <c r="D11" s="37" t="s">
        <v>108</v>
      </c>
      <c r="E11" s="37">
        <v>44.4</v>
      </c>
      <c r="F11" s="34">
        <f>5/1000</f>
        <v>5.0000000000000001E-3</v>
      </c>
      <c r="G11" s="38">
        <f>0.1/1000</f>
        <v>1E-4</v>
      </c>
    </row>
    <row r="12" spans="1:7" x14ac:dyDescent="0.25">
      <c r="A12" s="33" t="s">
        <v>105</v>
      </c>
      <c r="B12" s="34" t="s">
        <v>106</v>
      </c>
      <c r="C12" s="34" t="s">
        <v>116</v>
      </c>
      <c r="D12" s="34" t="s">
        <v>119</v>
      </c>
      <c r="E12" s="34">
        <v>74.099999999999994</v>
      </c>
      <c r="F12" s="34">
        <f>0.7/1000</f>
        <v>6.9999999999999999E-4</v>
      </c>
      <c r="G12" s="35">
        <f>0.4/1000</f>
        <v>4.0000000000000002E-4</v>
      </c>
    </row>
    <row r="13" spans="1:7" x14ac:dyDescent="0.25">
      <c r="A13" s="36" t="s">
        <v>105</v>
      </c>
      <c r="B13" s="37" t="s">
        <v>106</v>
      </c>
      <c r="C13" s="37" t="s">
        <v>117</v>
      </c>
      <c r="D13" s="37" t="s">
        <v>120</v>
      </c>
      <c r="E13" s="37">
        <v>112</v>
      </c>
      <c r="F13" s="37">
        <f>11/1000</f>
        <v>1.0999999999999999E-2</v>
      </c>
      <c r="G13" s="38">
        <f>7/1000</f>
        <v>7.0000000000000001E-3</v>
      </c>
    </row>
    <row r="14" spans="1:7" x14ac:dyDescent="0.25">
      <c r="A14" s="33" t="s">
        <v>105</v>
      </c>
      <c r="B14" s="34" t="s">
        <v>107</v>
      </c>
      <c r="C14" s="34" t="s">
        <v>117</v>
      </c>
      <c r="D14" s="34" t="s">
        <v>120</v>
      </c>
      <c r="E14" s="34">
        <v>112</v>
      </c>
      <c r="F14" s="37">
        <f>11/1000</f>
        <v>1.0999999999999999E-2</v>
      </c>
      <c r="G14" s="35">
        <f>7/1000</f>
        <v>7.0000000000000001E-3</v>
      </c>
    </row>
    <row r="15" spans="1:7" x14ac:dyDescent="0.25">
      <c r="A15" s="36" t="s">
        <v>105</v>
      </c>
      <c r="B15" s="37" t="s">
        <v>121</v>
      </c>
      <c r="C15" s="37" t="s">
        <v>118</v>
      </c>
      <c r="D15" s="37" t="s">
        <v>119</v>
      </c>
      <c r="E15" s="37">
        <v>77.400000000000006</v>
      </c>
      <c r="F15" s="37">
        <f>3/1000</f>
        <v>3.0000000000000001E-3</v>
      </c>
      <c r="G15" s="38">
        <f>0.6/1000</f>
        <v>5.9999999999999995E-4</v>
      </c>
    </row>
    <row r="16" spans="1:7" x14ac:dyDescent="0.25">
      <c r="A16" s="28" t="s">
        <v>105</v>
      </c>
      <c r="B16" s="29" t="s">
        <v>122</v>
      </c>
      <c r="C16" s="29" t="s">
        <v>118</v>
      </c>
      <c r="D16" s="29" t="s">
        <v>119</v>
      </c>
      <c r="E16" s="29">
        <v>77.400000000000006</v>
      </c>
      <c r="F16" s="29">
        <f>10/1000</f>
        <v>0.01</v>
      </c>
      <c r="G16" s="38">
        <f>0.6/1000</f>
        <v>5.9999999999999995E-4</v>
      </c>
    </row>
  </sheetData>
  <pageMargins left="0.7" right="0.7" top="0.75" bottom="0.75" header="0.3" footer="0.3"/>
  <customProperties>
    <customPr name="GUID" r:id="rId1"/>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3"/>
  <dimension ref="A1:G23"/>
  <sheetViews>
    <sheetView workbookViewId="0">
      <selection activeCell="L23" sqref="L23"/>
    </sheetView>
  </sheetViews>
  <sheetFormatPr defaultRowHeight="15" x14ac:dyDescent="0.25"/>
  <cols>
    <col min="1" max="1" width="10.5703125" style="8" customWidth="1"/>
    <col min="2" max="4" width="11.42578125" style="8" bestFit="1" customWidth="1"/>
    <col min="5" max="6" width="10.28515625" style="8" bestFit="1" customWidth="1"/>
    <col min="7" max="7" width="9.28515625" style="8" bestFit="1" customWidth="1"/>
  </cols>
  <sheetData>
    <row r="1" spans="1:7" ht="30.75" thickBot="1" x14ac:dyDescent="0.3">
      <c r="A1" s="3" t="s">
        <v>17</v>
      </c>
      <c r="B1" s="1" t="s">
        <v>234</v>
      </c>
      <c r="C1" s="3" t="s">
        <v>235</v>
      </c>
      <c r="D1" s="3" t="s">
        <v>236</v>
      </c>
      <c r="E1" s="1" t="s">
        <v>412</v>
      </c>
      <c r="F1" s="3" t="s">
        <v>413</v>
      </c>
      <c r="G1" s="3" t="s">
        <v>677</v>
      </c>
    </row>
    <row r="2" spans="1:7" ht="15.75" thickBot="1" x14ac:dyDescent="0.3">
      <c r="A2" s="6" t="s">
        <v>58</v>
      </c>
      <c r="B2" s="6">
        <v>1810</v>
      </c>
      <c r="C2" s="6">
        <v>1760</v>
      </c>
      <c r="D2" s="6">
        <v>1960</v>
      </c>
      <c r="E2" s="6">
        <v>5160</v>
      </c>
      <c r="F2" s="6">
        <v>5280</v>
      </c>
      <c r="G2" s="6">
        <v>5690</v>
      </c>
    </row>
    <row r="3" spans="1:7" ht="15.75" thickBot="1" x14ac:dyDescent="0.3">
      <c r="A3" s="6" t="s">
        <v>25</v>
      </c>
      <c r="B3" s="6">
        <v>14800</v>
      </c>
      <c r="C3" s="6">
        <v>12400</v>
      </c>
      <c r="D3" s="6">
        <v>14600</v>
      </c>
      <c r="E3" s="6">
        <v>12000</v>
      </c>
      <c r="F3" s="6">
        <v>10800</v>
      </c>
      <c r="G3" s="6">
        <v>12400</v>
      </c>
    </row>
    <row r="4" spans="1:7" ht="15.75" thickBot="1" x14ac:dyDescent="0.3">
      <c r="A4" s="79" t="s">
        <v>26</v>
      </c>
      <c r="B4" s="79">
        <v>675</v>
      </c>
      <c r="C4" s="79">
        <v>677</v>
      </c>
      <c r="D4" s="79">
        <v>771</v>
      </c>
      <c r="E4" s="79">
        <v>2330</v>
      </c>
      <c r="F4" s="79">
        <v>2430</v>
      </c>
      <c r="G4" s="79">
        <v>2690</v>
      </c>
    </row>
    <row r="5" spans="1:7" ht="15.75" thickBot="1" x14ac:dyDescent="0.3">
      <c r="A5" s="79" t="s">
        <v>793</v>
      </c>
      <c r="B5" s="79"/>
      <c r="C5" s="79">
        <v>116</v>
      </c>
      <c r="D5" s="79">
        <v>135</v>
      </c>
      <c r="E5" s="79"/>
      <c r="F5" s="79">
        <v>427</v>
      </c>
      <c r="G5" s="79">
        <v>485</v>
      </c>
    </row>
    <row r="6" spans="1:7" ht="15.75" thickBot="1" x14ac:dyDescent="0.3">
      <c r="A6" s="6" t="s">
        <v>27</v>
      </c>
      <c r="B6" s="6">
        <v>1640</v>
      </c>
      <c r="C6" s="6">
        <v>1650</v>
      </c>
      <c r="D6" s="6"/>
      <c r="E6" s="6"/>
      <c r="F6" s="6"/>
      <c r="G6" s="6"/>
    </row>
    <row r="7" spans="1:7" ht="15.75" thickBot="1" x14ac:dyDescent="0.3">
      <c r="A7" s="6" t="s">
        <v>28</v>
      </c>
      <c r="B7" s="6">
        <v>3500</v>
      </c>
      <c r="C7" s="6">
        <v>3170</v>
      </c>
      <c r="D7" s="6">
        <v>3740</v>
      </c>
      <c r="E7" s="6">
        <v>6350</v>
      </c>
      <c r="F7" s="6">
        <v>6090</v>
      </c>
      <c r="G7" s="6">
        <v>6740</v>
      </c>
    </row>
    <row r="8" spans="1:7" ht="15.75" thickBot="1" x14ac:dyDescent="0.3">
      <c r="A8" s="79" t="s">
        <v>29</v>
      </c>
      <c r="B8" s="79">
        <v>1430</v>
      </c>
      <c r="C8" s="79">
        <v>1300</v>
      </c>
      <c r="D8" s="79">
        <v>1530</v>
      </c>
      <c r="E8" s="79">
        <v>3830</v>
      </c>
      <c r="F8" s="79">
        <v>3710</v>
      </c>
      <c r="G8" s="79">
        <v>4140</v>
      </c>
    </row>
    <row r="9" spans="1:7" ht="15.75" thickBot="1" x14ac:dyDescent="0.3">
      <c r="A9" s="79" t="s">
        <v>59</v>
      </c>
      <c r="B9" s="231">
        <f>0.23*B4+0.25*B7+0.52*B8</f>
        <v>1773.85</v>
      </c>
      <c r="C9" s="231">
        <f>0.23*C4+0.25*C7+0.52*C8</f>
        <v>1624.21</v>
      </c>
      <c r="D9" s="231">
        <f t="shared" ref="D9:G9" si="0">0.23*D4+0.25*D7+0.52*D8</f>
        <v>1907.9299999999998</v>
      </c>
      <c r="E9" s="231">
        <f t="shared" si="0"/>
        <v>4115</v>
      </c>
      <c r="F9" s="231">
        <f t="shared" si="0"/>
        <v>4010.6000000000004</v>
      </c>
      <c r="G9" s="231">
        <f t="shared" si="0"/>
        <v>4456.5</v>
      </c>
    </row>
    <row r="10" spans="1:7" ht="15.75" thickBot="1" x14ac:dyDescent="0.3">
      <c r="A10" s="79" t="s">
        <v>806</v>
      </c>
      <c r="B10" s="231">
        <f>B4*0.5+0.5*B7</f>
        <v>2087.5</v>
      </c>
      <c r="C10" s="231">
        <f t="shared" ref="C10:G10" si="1">C4*0.5+0.5*C7</f>
        <v>1923.5</v>
      </c>
      <c r="D10" s="231">
        <f t="shared" si="1"/>
        <v>2255.5</v>
      </c>
      <c r="E10" s="231">
        <f t="shared" si="1"/>
        <v>4340</v>
      </c>
      <c r="F10" s="231">
        <f t="shared" si="1"/>
        <v>4260</v>
      </c>
      <c r="G10" s="231">
        <f t="shared" si="1"/>
        <v>4715</v>
      </c>
    </row>
    <row r="11" spans="1:7" ht="15.75" thickBot="1" x14ac:dyDescent="0.3">
      <c r="A11" s="79" t="s">
        <v>807</v>
      </c>
      <c r="B11" s="234">
        <f t="shared" ref="B11:G11" si="2">0.5*B8+0.466*B7+0.034*B23</f>
        <v>2346.0002039999999</v>
      </c>
      <c r="C11" s="234">
        <f t="shared" si="2"/>
        <v>2127.2202040000002</v>
      </c>
      <c r="D11" s="231">
        <f t="shared" si="2"/>
        <v>2507.8402040000001</v>
      </c>
      <c r="E11" s="234">
        <f t="shared" si="2"/>
        <v>4874.1007480000007</v>
      </c>
      <c r="F11" s="234">
        <f t="shared" si="2"/>
        <v>4692.9407480000009</v>
      </c>
      <c r="G11" s="231">
        <f t="shared" si="2"/>
        <v>5210.8407480000005</v>
      </c>
    </row>
    <row r="12" spans="1:7" ht="15.75" thickBot="1" x14ac:dyDescent="0.3">
      <c r="A12" s="6" t="s">
        <v>30</v>
      </c>
      <c r="B12" s="6">
        <v>124</v>
      </c>
      <c r="C12" s="6">
        <v>138</v>
      </c>
      <c r="D12" s="6">
        <v>164</v>
      </c>
      <c r="E12" s="6">
        <v>437</v>
      </c>
      <c r="F12" s="6">
        <v>138</v>
      </c>
      <c r="G12" s="6">
        <v>591</v>
      </c>
    </row>
    <row r="13" spans="1:7" ht="15.75" thickBot="1" x14ac:dyDescent="0.3">
      <c r="A13" s="6" t="s">
        <v>31</v>
      </c>
      <c r="B13" s="6">
        <v>4470</v>
      </c>
      <c r="C13" s="6">
        <v>4800</v>
      </c>
      <c r="D13" s="6">
        <v>5810</v>
      </c>
      <c r="E13" s="6">
        <v>5890</v>
      </c>
      <c r="F13" s="6">
        <v>6940</v>
      </c>
      <c r="G13" s="6">
        <v>7840</v>
      </c>
    </row>
    <row r="14" spans="1:7" ht="15.75" thickBot="1" x14ac:dyDescent="0.3">
      <c r="A14" s="6" t="s">
        <v>32</v>
      </c>
      <c r="B14" s="6">
        <v>3220</v>
      </c>
      <c r="C14" s="6">
        <v>3350</v>
      </c>
      <c r="D14" s="6"/>
      <c r="E14" s="6"/>
      <c r="F14" s="6"/>
      <c r="G14" s="6"/>
    </row>
    <row r="15" spans="1:7" ht="15.75" thickBot="1" x14ac:dyDescent="0.3">
      <c r="A15" s="6" t="s">
        <v>33</v>
      </c>
      <c r="B15" s="6">
        <v>9810</v>
      </c>
      <c r="C15" s="6">
        <v>8060</v>
      </c>
      <c r="D15" s="6"/>
      <c r="E15" s="6"/>
      <c r="F15" s="6"/>
      <c r="G15" s="6"/>
    </row>
    <row r="16" spans="1:7" ht="15.75" thickBot="1" x14ac:dyDescent="0.3">
      <c r="A16" s="6" t="s">
        <v>34</v>
      </c>
      <c r="B16" s="6">
        <v>7390</v>
      </c>
      <c r="C16" s="6">
        <v>6630</v>
      </c>
      <c r="D16" s="6"/>
      <c r="E16" s="6"/>
      <c r="F16" s="6"/>
      <c r="G16" s="6"/>
    </row>
    <row r="17" spans="1:7" ht="15.75" thickBot="1" x14ac:dyDescent="0.3">
      <c r="A17" s="6" t="s">
        <v>35</v>
      </c>
      <c r="B17" s="6">
        <v>12200</v>
      </c>
      <c r="C17" s="6">
        <v>11100</v>
      </c>
      <c r="D17" s="6"/>
      <c r="E17" s="6"/>
      <c r="F17" s="6"/>
      <c r="G17" s="6"/>
    </row>
    <row r="18" spans="1:7" ht="15.75" thickBot="1" x14ac:dyDescent="0.3">
      <c r="A18" s="6" t="s">
        <v>36</v>
      </c>
      <c r="B18" s="6">
        <v>8830</v>
      </c>
      <c r="C18" s="6">
        <v>8900</v>
      </c>
      <c r="D18" s="6"/>
      <c r="E18" s="6"/>
      <c r="F18" s="6"/>
      <c r="G18" s="6"/>
    </row>
    <row r="19" spans="1:7" ht="15.75" thickBot="1" x14ac:dyDescent="0.3">
      <c r="A19" s="6" t="s">
        <v>37</v>
      </c>
      <c r="B19" s="6">
        <v>8860</v>
      </c>
      <c r="C19" s="6">
        <v>9200</v>
      </c>
      <c r="D19" s="6"/>
      <c r="E19" s="6"/>
      <c r="F19" s="6"/>
      <c r="G19" s="6"/>
    </row>
    <row r="20" spans="1:7" ht="15.75" thickBot="1" x14ac:dyDescent="0.3">
      <c r="A20" s="6" t="s">
        <v>38</v>
      </c>
      <c r="B20" s="6">
        <v>9300</v>
      </c>
      <c r="C20" s="6">
        <v>7910</v>
      </c>
      <c r="D20" s="6"/>
      <c r="E20" s="6"/>
      <c r="F20" s="6"/>
      <c r="G20" s="6"/>
    </row>
    <row r="21" spans="1:7" ht="15.75" thickBot="1" x14ac:dyDescent="0.3">
      <c r="A21" s="6" t="s">
        <v>39</v>
      </c>
      <c r="B21" s="6">
        <v>22800</v>
      </c>
      <c r="C21" s="6">
        <v>23500</v>
      </c>
      <c r="D21" s="6"/>
      <c r="E21" s="6"/>
      <c r="F21" s="6"/>
      <c r="G21" s="6"/>
    </row>
    <row r="22" spans="1:7" ht="15.75" thickBot="1" x14ac:dyDescent="0.3">
      <c r="A22" s="6" t="s">
        <v>40</v>
      </c>
      <c r="B22" s="6">
        <v>17200</v>
      </c>
      <c r="C22" s="6">
        <v>16100</v>
      </c>
      <c r="D22" s="6"/>
      <c r="E22" s="6"/>
      <c r="F22" s="6"/>
      <c r="G22" s="6"/>
    </row>
    <row r="23" spans="1:7" ht="15.75" thickBot="1" x14ac:dyDescent="0.3">
      <c r="A23" s="6" t="s">
        <v>808</v>
      </c>
      <c r="B23" s="232">
        <f>D23</f>
        <v>6.0000000000000001E-3</v>
      </c>
      <c r="C23" s="232">
        <f>D23</f>
        <v>6.0000000000000001E-3</v>
      </c>
      <c r="D23" s="6">
        <v>6.0000000000000001E-3</v>
      </c>
      <c r="E23" s="232">
        <f>G23</f>
        <v>2.1999999999999999E-2</v>
      </c>
      <c r="F23" s="232">
        <f>G23</f>
        <v>2.1999999999999999E-2</v>
      </c>
      <c r="G23" s="6">
        <v>2.1999999999999999E-2</v>
      </c>
    </row>
  </sheetData>
  <pageMargins left="0.7" right="0.7" top="0.75" bottom="0.75" header="0.3" footer="0.3"/>
  <pageSetup paperSize="9" orientation="portrait" r:id="rId1"/>
  <customProperties>
    <customPr name="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4"/>
  <dimension ref="A1:E22"/>
  <sheetViews>
    <sheetView workbookViewId="0">
      <selection activeCell="F19" sqref="F19"/>
    </sheetView>
  </sheetViews>
  <sheetFormatPr defaultRowHeight="15" x14ac:dyDescent="0.25"/>
  <sheetData>
    <row r="1" spans="1:5" ht="15.75" thickBot="1" x14ac:dyDescent="0.3">
      <c r="A1" s="3" t="s">
        <v>17</v>
      </c>
      <c r="B1" s="3" t="s">
        <v>18</v>
      </c>
      <c r="C1" s="1" t="s">
        <v>19</v>
      </c>
      <c r="D1" s="3" t="s">
        <v>20</v>
      </c>
      <c r="E1" s="3" t="s">
        <v>21</v>
      </c>
    </row>
    <row r="2" spans="1:5" ht="15.75" thickBot="1" x14ac:dyDescent="0.3">
      <c r="A2" s="6" t="s">
        <v>22</v>
      </c>
      <c r="B2" s="6">
        <v>1</v>
      </c>
      <c r="C2" s="6">
        <v>1</v>
      </c>
      <c r="D2" s="6">
        <v>1</v>
      </c>
      <c r="E2" s="6">
        <v>1</v>
      </c>
    </row>
    <row r="3" spans="1:5" ht="15.75" thickBot="1" x14ac:dyDescent="0.3">
      <c r="A3" s="6" t="s">
        <v>23</v>
      </c>
      <c r="B3" s="6">
        <v>21</v>
      </c>
      <c r="C3" s="6">
        <v>25</v>
      </c>
      <c r="D3" s="6">
        <v>28</v>
      </c>
      <c r="E3" s="6">
        <v>27.9</v>
      </c>
    </row>
    <row r="4" spans="1:5" ht="15.75" thickBot="1" x14ac:dyDescent="0.3">
      <c r="A4" s="6" t="s">
        <v>24</v>
      </c>
      <c r="B4" s="6">
        <v>310</v>
      </c>
      <c r="C4" s="6">
        <v>298</v>
      </c>
      <c r="D4" s="6">
        <v>265</v>
      </c>
      <c r="E4" s="6">
        <v>273</v>
      </c>
    </row>
    <row r="5" spans="1:5" ht="15.75" thickBot="1" x14ac:dyDescent="0.3">
      <c r="A5" s="6" t="s">
        <v>58</v>
      </c>
      <c r="B5" s="6"/>
      <c r="C5" s="6">
        <v>1810</v>
      </c>
      <c r="D5" s="6">
        <v>1760</v>
      </c>
      <c r="E5" s="6">
        <v>1960</v>
      </c>
    </row>
    <row r="6" spans="1:5" ht="15.75" thickBot="1" x14ac:dyDescent="0.3">
      <c r="A6" s="6" t="s">
        <v>25</v>
      </c>
      <c r="B6" s="6">
        <v>11700</v>
      </c>
      <c r="C6" s="6">
        <v>14800</v>
      </c>
      <c r="D6" s="6">
        <v>12400</v>
      </c>
      <c r="E6" s="6"/>
    </row>
    <row r="7" spans="1:5" ht="15.75" thickBot="1" x14ac:dyDescent="0.3">
      <c r="A7" s="6" t="s">
        <v>26</v>
      </c>
      <c r="B7" s="6">
        <v>650</v>
      </c>
      <c r="C7" s="6">
        <v>675</v>
      </c>
      <c r="D7" s="6">
        <v>677</v>
      </c>
      <c r="E7" s="6">
        <v>771</v>
      </c>
    </row>
    <row r="8" spans="1:5" ht="15.75" thickBot="1" x14ac:dyDescent="0.3">
      <c r="A8" s="6" t="s">
        <v>27</v>
      </c>
      <c r="B8" s="6">
        <v>1300</v>
      </c>
      <c r="C8" s="6">
        <v>1640</v>
      </c>
      <c r="D8" s="6">
        <v>1650</v>
      </c>
      <c r="E8" s="6"/>
    </row>
    <row r="9" spans="1:5" ht="15.75" thickBot="1" x14ac:dyDescent="0.3">
      <c r="A9" s="6" t="s">
        <v>28</v>
      </c>
      <c r="B9" s="6">
        <v>2800</v>
      </c>
      <c r="C9" s="6">
        <v>3500</v>
      </c>
      <c r="D9" s="6">
        <v>3170</v>
      </c>
      <c r="E9" s="6">
        <v>3740</v>
      </c>
    </row>
    <row r="10" spans="1:5" ht="15.75" thickBot="1" x14ac:dyDescent="0.3">
      <c r="A10" s="6" t="s">
        <v>29</v>
      </c>
      <c r="B10" s="6">
        <v>1300</v>
      </c>
      <c r="C10" s="6">
        <v>1430</v>
      </c>
      <c r="D10" s="6">
        <v>1300</v>
      </c>
      <c r="E10" s="6">
        <v>1530</v>
      </c>
    </row>
    <row r="11" spans="1:5" ht="15.75" thickBot="1" x14ac:dyDescent="0.3">
      <c r="A11" s="6" t="s">
        <v>59</v>
      </c>
      <c r="B11" s="6"/>
      <c r="C11" s="6">
        <v>1774</v>
      </c>
      <c r="D11" s="6">
        <v>1624</v>
      </c>
      <c r="E11" s="6">
        <v>1908</v>
      </c>
    </row>
    <row r="12" spans="1:5" ht="15.75" thickBot="1" x14ac:dyDescent="0.3">
      <c r="A12" s="6" t="s">
        <v>30</v>
      </c>
      <c r="B12" s="6">
        <v>140</v>
      </c>
      <c r="C12" s="6">
        <v>124</v>
      </c>
      <c r="D12" s="6">
        <v>138</v>
      </c>
      <c r="E12" s="6"/>
    </row>
    <row r="13" spans="1:5" ht="15.75" thickBot="1" x14ac:dyDescent="0.3">
      <c r="A13" s="6" t="s">
        <v>31</v>
      </c>
      <c r="B13" s="6">
        <v>3800</v>
      </c>
      <c r="C13" s="6">
        <v>4470</v>
      </c>
      <c r="D13" s="6">
        <v>4800</v>
      </c>
      <c r="E13" s="6"/>
    </row>
    <row r="14" spans="1:5" ht="15.75" thickBot="1" x14ac:dyDescent="0.3">
      <c r="A14" s="6" t="s">
        <v>32</v>
      </c>
      <c r="B14" s="6">
        <v>2900</v>
      </c>
      <c r="C14" s="6">
        <v>3220</v>
      </c>
      <c r="D14" s="6">
        <v>3350</v>
      </c>
      <c r="E14" s="6"/>
    </row>
    <row r="15" spans="1:5" ht="15.75" thickBot="1" x14ac:dyDescent="0.3">
      <c r="A15" s="6" t="s">
        <v>33</v>
      </c>
      <c r="B15" s="6">
        <v>6300</v>
      </c>
      <c r="C15" s="6">
        <v>9810</v>
      </c>
      <c r="D15" s="6">
        <v>8060</v>
      </c>
      <c r="E15" s="6"/>
    </row>
    <row r="16" spans="1:5" ht="15.75" thickBot="1" x14ac:dyDescent="0.3">
      <c r="A16" s="6" t="s">
        <v>34</v>
      </c>
      <c r="B16" s="6">
        <v>6500</v>
      </c>
      <c r="C16" s="6">
        <v>7390</v>
      </c>
      <c r="D16" s="6">
        <v>6630</v>
      </c>
      <c r="E16" s="6"/>
    </row>
    <row r="17" spans="1:5" ht="15.75" thickBot="1" x14ac:dyDescent="0.3">
      <c r="A17" s="6" t="s">
        <v>35</v>
      </c>
      <c r="B17" s="6">
        <v>9200</v>
      </c>
      <c r="C17" s="6">
        <v>12200</v>
      </c>
      <c r="D17" s="6">
        <v>11100</v>
      </c>
      <c r="E17" s="6"/>
    </row>
    <row r="18" spans="1:5" ht="15.75" thickBot="1" x14ac:dyDescent="0.3">
      <c r="A18" s="6" t="s">
        <v>36</v>
      </c>
      <c r="B18" s="6">
        <v>7000</v>
      </c>
      <c r="C18" s="6">
        <v>8830</v>
      </c>
      <c r="D18" s="6">
        <v>8900</v>
      </c>
      <c r="E18" s="6"/>
    </row>
    <row r="19" spans="1:5" ht="15.75" thickBot="1" x14ac:dyDescent="0.3">
      <c r="A19" s="6" t="s">
        <v>37</v>
      </c>
      <c r="B19" s="6">
        <v>7000</v>
      </c>
      <c r="C19" s="6">
        <v>8860</v>
      </c>
      <c r="D19" s="6">
        <v>9200</v>
      </c>
      <c r="E19" s="6"/>
    </row>
    <row r="20" spans="1:5" ht="15.75" thickBot="1" x14ac:dyDescent="0.3">
      <c r="A20" s="6" t="s">
        <v>38</v>
      </c>
      <c r="B20" s="6">
        <v>7400</v>
      </c>
      <c r="C20" s="6">
        <v>9300</v>
      </c>
      <c r="D20" s="6">
        <v>7910</v>
      </c>
      <c r="E20" s="6"/>
    </row>
    <row r="21" spans="1:5" ht="15.75" thickBot="1" x14ac:dyDescent="0.3">
      <c r="A21" s="6" t="s">
        <v>39</v>
      </c>
      <c r="B21" s="6">
        <v>23900</v>
      </c>
      <c r="C21" s="6">
        <v>22800</v>
      </c>
      <c r="D21" s="6">
        <v>23500</v>
      </c>
      <c r="E21" s="6"/>
    </row>
    <row r="22" spans="1:5" ht="15.75" thickBot="1" x14ac:dyDescent="0.3">
      <c r="A22" s="6" t="s">
        <v>40</v>
      </c>
      <c r="B22" s="6"/>
      <c r="C22" s="6">
        <v>17200</v>
      </c>
      <c r="D22" s="6">
        <v>16100</v>
      </c>
      <c r="E22" s="6"/>
    </row>
  </sheetData>
  <pageMargins left="0.7" right="0.7" top="0.75" bottom="0.75" header="0.3" footer="0.3"/>
  <customProperties>
    <customPr name="GUID" r:id="rId1"/>
  </customPropertie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lha15"/>
  <dimension ref="A1:T184"/>
  <sheetViews>
    <sheetView topLeftCell="A10" workbookViewId="0">
      <selection activeCell="R52" sqref="R52:T52"/>
    </sheetView>
  </sheetViews>
  <sheetFormatPr defaultRowHeight="15" x14ac:dyDescent="0.25"/>
  <cols>
    <col min="1" max="1" width="10.5703125" style="154" customWidth="1"/>
    <col min="2" max="7" width="9.140625" style="154"/>
    <col min="15" max="20" width="35.5703125" customWidth="1"/>
  </cols>
  <sheetData>
    <row r="1" spans="1:20" ht="30.75" thickBot="1" x14ac:dyDescent="0.3">
      <c r="A1" s="3" t="s">
        <v>17</v>
      </c>
      <c r="B1" s="1" t="s">
        <v>234</v>
      </c>
      <c r="C1" s="3" t="s">
        <v>235</v>
      </c>
      <c r="D1" s="3" t="s">
        <v>236</v>
      </c>
      <c r="E1" s="1" t="s">
        <v>412</v>
      </c>
      <c r="F1" s="3" t="s">
        <v>413</v>
      </c>
      <c r="G1" s="3" t="s">
        <v>418</v>
      </c>
      <c r="O1" s="76"/>
      <c r="P1" s="76"/>
      <c r="Q1" s="76"/>
      <c r="R1" s="77" t="s">
        <v>237</v>
      </c>
      <c r="S1" s="77" t="s">
        <v>238</v>
      </c>
      <c r="T1" s="77" t="s">
        <v>239</v>
      </c>
    </row>
    <row r="2" spans="1:20" ht="18.75" thickBot="1" x14ac:dyDescent="0.4">
      <c r="A2" s="6" t="s">
        <v>58</v>
      </c>
      <c r="B2" s="6">
        <v>1810</v>
      </c>
      <c r="C2" s="6">
        <v>1760</v>
      </c>
      <c r="D2" s="6">
        <v>1960</v>
      </c>
      <c r="E2" s="6"/>
      <c r="F2" s="6"/>
      <c r="G2" s="6"/>
      <c r="O2" s="39" t="s">
        <v>123</v>
      </c>
      <c r="P2" s="39" t="s">
        <v>240</v>
      </c>
      <c r="Q2" s="39" t="s">
        <v>124</v>
      </c>
      <c r="R2" s="40" t="s">
        <v>125</v>
      </c>
      <c r="S2" s="40" t="s">
        <v>125</v>
      </c>
      <c r="T2" s="40" t="s">
        <v>125</v>
      </c>
    </row>
    <row r="3" spans="1:20" ht="15.75" thickBot="1" x14ac:dyDescent="0.3">
      <c r="A3" s="6" t="s">
        <v>25</v>
      </c>
      <c r="B3" s="6">
        <v>14800</v>
      </c>
      <c r="C3" s="6">
        <v>12400</v>
      </c>
      <c r="D3" s="6"/>
      <c r="E3" s="6">
        <v>5160</v>
      </c>
      <c r="F3" s="6">
        <v>5280</v>
      </c>
      <c r="G3" s="6">
        <v>5690</v>
      </c>
      <c r="O3" s="411" t="s">
        <v>241</v>
      </c>
      <c r="P3" s="40" t="s">
        <v>242</v>
      </c>
      <c r="Q3" s="40" t="s">
        <v>57</v>
      </c>
      <c r="R3" s="74">
        <v>1</v>
      </c>
      <c r="S3" s="74"/>
      <c r="T3" s="74">
        <v>1</v>
      </c>
    </row>
    <row r="4" spans="1:20" ht="15.75" thickBot="1" x14ac:dyDescent="0.3">
      <c r="A4" s="79" t="s">
        <v>26</v>
      </c>
      <c r="B4" s="79">
        <v>675</v>
      </c>
      <c r="C4" s="79">
        <v>677</v>
      </c>
      <c r="D4" s="79">
        <v>771</v>
      </c>
      <c r="E4" s="79">
        <v>2330</v>
      </c>
      <c r="F4" s="79">
        <v>2430</v>
      </c>
      <c r="G4" s="79">
        <v>2690</v>
      </c>
      <c r="O4" s="411"/>
      <c r="P4" s="40" t="s">
        <v>243</v>
      </c>
      <c r="Q4" s="40" t="s">
        <v>57</v>
      </c>
      <c r="R4" s="74">
        <v>28</v>
      </c>
      <c r="S4" s="74"/>
      <c r="T4" s="74">
        <v>28</v>
      </c>
    </row>
    <row r="5" spans="1:20" ht="15.75" thickBot="1" x14ac:dyDescent="0.3">
      <c r="A5" s="6" t="s">
        <v>27</v>
      </c>
      <c r="B5" s="6">
        <v>1640</v>
      </c>
      <c r="C5" s="6">
        <v>1650</v>
      </c>
      <c r="D5" s="6"/>
      <c r="E5" s="6"/>
      <c r="F5" s="6"/>
      <c r="G5" s="6"/>
      <c r="O5" s="411"/>
      <c r="P5" s="40" t="s">
        <v>244</v>
      </c>
      <c r="Q5" s="40" t="s">
        <v>57</v>
      </c>
      <c r="R5" s="74">
        <v>265</v>
      </c>
      <c r="S5" s="74"/>
      <c r="T5" s="74">
        <v>265</v>
      </c>
    </row>
    <row r="6" spans="1:20" ht="15.75" thickBot="1" x14ac:dyDescent="0.3">
      <c r="A6" s="6" t="s">
        <v>28</v>
      </c>
      <c r="B6" s="6">
        <v>3500</v>
      </c>
      <c r="C6" s="6">
        <v>3170</v>
      </c>
      <c r="D6" s="6">
        <v>3740</v>
      </c>
      <c r="E6" s="6">
        <v>6350</v>
      </c>
      <c r="F6" s="6">
        <v>6090</v>
      </c>
      <c r="G6" s="6">
        <v>6740</v>
      </c>
      <c r="O6" s="411"/>
      <c r="P6" s="40" t="s">
        <v>245</v>
      </c>
      <c r="Q6" s="40" t="s">
        <v>57</v>
      </c>
      <c r="R6" s="74">
        <v>12400</v>
      </c>
      <c r="S6" s="74"/>
      <c r="T6" s="74">
        <v>12400</v>
      </c>
    </row>
    <row r="7" spans="1:20" ht="15.75" thickBot="1" x14ac:dyDescent="0.3">
      <c r="A7" s="79" t="s">
        <v>29</v>
      </c>
      <c r="B7" s="79">
        <v>1430</v>
      </c>
      <c r="C7" s="79">
        <v>1300</v>
      </c>
      <c r="D7" s="79">
        <v>1530</v>
      </c>
      <c r="E7" s="79">
        <v>3830</v>
      </c>
      <c r="F7" s="79">
        <v>3710</v>
      </c>
      <c r="G7" s="79">
        <v>4140</v>
      </c>
      <c r="O7" s="411"/>
      <c r="P7" s="40" t="s">
        <v>246</v>
      </c>
      <c r="Q7" s="40" t="s">
        <v>57</v>
      </c>
      <c r="R7" s="74">
        <v>677</v>
      </c>
      <c r="S7" s="74"/>
      <c r="T7" s="74">
        <v>677</v>
      </c>
    </row>
    <row r="8" spans="1:20" ht="15.75" thickBot="1" x14ac:dyDescent="0.3">
      <c r="A8" s="79" t="s">
        <v>59</v>
      </c>
      <c r="B8" s="79">
        <v>1774</v>
      </c>
      <c r="C8" s="79">
        <v>1624</v>
      </c>
      <c r="D8" s="79">
        <v>1908</v>
      </c>
      <c r="E8" s="79">
        <v>4115</v>
      </c>
      <c r="F8" s="79">
        <v>4011</v>
      </c>
      <c r="G8" s="79">
        <v>4457</v>
      </c>
      <c r="O8" s="411"/>
      <c r="P8" s="40" t="s">
        <v>247</v>
      </c>
      <c r="Q8" s="40" t="s">
        <v>57</v>
      </c>
      <c r="R8" s="74">
        <v>116</v>
      </c>
      <c r="S8" s="74"/>
      <c r="T8" s="74">
        <v>116</v>
      </c>
    </row>
    <row r="9" spans="1:20" ht="15.75" thickBot="1" x14ac:dyDescent="0.3">
      <c r="A9" s="6" t="s">
        <v>30</v>
      </c>
      <c r="B9" s="6">
        <v>124</v>
      </c>
      <c r="C9" s="6">
        <v>138</v>
      </c>
      <c r="D9" s="6"/>
      <c r="E9" s="6"/>
      <c r="F9" s="6"/>
      <c r="G9" s="6"/>
      <c r="O9" s="411"/>
      <c r="P9" s="40" t="s">
        <v>248</v>
      </c>
      <c r="Q9" s="40" t="s">
        <v>57</v>
      </c>
      <c r="R9" s="74">
        <v>3170</v>
      </c>
      <c r="S9" s="74"/>
      <c r="T9" s="74">
        <v>3170</v>
      </c>
    </row>
    <row r="10" spans="1:20" ht="15.75" thickBot="1" x14ac:dyDescent="0.3">
      <c r="A10" s="6" t="s">
        <v>31</v>
      </c>
      <c r="B10" s="6">
        <v>4470</v>
      </c>
      <c r="C10" s="6">
        <v>4800</v>
      </c>
      <c r="D10" s="6"/>
      <c r="E10" s="6"/>
      <c r="F10" s="6"/>
      <c r="G10" s="6"/>
      <c r="O10" s="411"/>
      <c r="P10" s="40" t="s">
        <v>249</v>
      </c>
      <c r="Q10" s="40" t="s">
        <v>57</v>
      </c>
      <c r="R10" s="74">
        <v>1120</v>
      </c>
      <c r="S10" s="74"/>
      <c r="T10" s="74">
        <v>1120</v>
      </c>
    </row>
    <row r="11" spans="1:20" ht="15.75" thickBot="1" x14ac:dyDescent="0.3">
      <c r="A11" s="6" t="s">
        <v>32</v>
      </c>
      <c r="B11" s="6">
        <v>3220</v>
      </c>
      <c r="C11" s="6">
        <v>3350</v>
      </c>
      <c r="D11" s="6"/>
      <c r="E11" s="6"/>
      <c r="F11" s="6"/>
      <c r="G11" s="6"/>
      <c r="O11" s="411"/>
      <c r="P11" s="40" t="s">
        <v>250</v>
      </c>
      <c r="Q11" s="40" t="s">
        <v>57</v>
      </c>
      <c r="R11" s="74">
        <v>1300</v>
      </c>
      <c r="S11" s="74"/>
      <c r="T11" s="74">
        <v>1300</v>
      </c>
    </row>
    <row r="12" spans="1:20" ht="15.75" thickBot="1" x14ac:dyDescent="0.3">
      <c r="A12" s="6" t="s">
        <v>33</v>
      </c>
      <c r="B12" s="6">
        <v>9810</v>
      </c>
      <c r="C12" s="6">
        <v>8060</v>
      </c>
      <c r="D12" s="6"/>
      <c r="E12" s="6"/>
      <c r="F12" s="6"/>
      <c r="G12" s="6"/>
      <c r="O12" s="411"/>
      <c r="P12" s="40" t="s">
        <v>251</v>
      </c>
      <c r="Q12" s="40" t="s">
        <v>57</v>
      </c>
      <c r="R12" s="74">
        <v>328</v>
      </c>
      <c r="S12" s="74"/>
      <c r="T12" s="74">
        <v>328</v>
      </c>
    </row>
    <row r="13" spans="1:20" ht="15.75" thickBot="1" x14ac:dyDescent="0.3">
      <c r="A13" s="6" t="s">
        <v>34</v>
      </c>
      <c r="B13" s="6">
        <v>7390</v>
      </c>
      <c r="C13" s="6">
        <v>6630</v>
      </c>
      <c r="D13" s="6"/>
      <c r="E13" s="6"/>
      <c r="F13" s="6"/>
      <c r="G13" s="6"/>
      <c r="O13" s="411"/>
      <c r="P13" s="40" t="s">
        <v>252</v>
      </c>
      <c r="Q13" s="40" t="s">
        <v>57</v>
      </c>
      <c r="R13" s="74">
        <v>4800</v>
      </c>
      <c r="S13" s="74"/>
      <c r="T13" s="74">
        <v>4800</v>
      </c>
    </row>
    <row r="14" spans="1:20" ht="15.75" thickBot="1" x14ac:dyDescent="0.3">
      <c r="A14" s="6" t="s">
        <v>35</v>
      </c>
      <c r="B14" s="6">
        <v>12200</v>
      </c>
      <c r="C14" s="6">
        <v>11100</v>
      </c>
      <c r="D14" s="6"/>
      <c r="E14" s="6"/>
      <c r="F14" s="6"/>
      <c r="G14" s="6"/>
      <c r="O14" s="411"/>
      <c r="P14" s="40" t="s">
        <v>253</v>
      </c>
      <c r="Q14" s="40" t="s">
        <v>57</v>
      </c>
      <c r="R14" s="74">
        <v>138</v>
      </c>
      <c r="S14" s="74"/>
      <c r="T14" s="74">
        <v>138</v>
      </c>
    </row>
    <row r="15" spans="1:20" ht="15.75" thickBot="1" x14ac:dyDescent="0.3">
      <c r="A15" s="6" t="s">
        <v>36</v>
      </c>
      <c r="B15" s="6">
        <v>8830</v>
      </c>
      <c r="C15" s="6">
        <v>8900</v>
      </c>
      <c r="D15" s="6"/>
      <c r="E15" s="6"/>
      <c r="F15" s="6"/>
      <c r="G15" s="6"/>
      <c r="O15" s="411"/>
      <c r="P15" s="40" t="s">
        <v>254</v>
      </c>
      <c r="Q15" s="40" t="s">
        <v>57</v>
      </c>
      <c r="R15" s="74">
        <v>3350</v>
      </c>
      <c r="S15" s="74"/>
      <c r="T15" s="74">
        <v>3350</v>
      </c>
    </row>
    <row r="16" spans="1:20" ht="15.75" thickBot="1" x14ac:dyDescent="0.3">
      <c r="A16" s="6" t="s">
        <v>37</v>
      </c>
      <c r="B16" s="6">
        <v>8860</v>
      </c>
      <c r="C16" s="6">
        <v>9200</v>
      </c>
      <c r="D16" s="6"/>
      <c r="E16" s="6"/>
      <c r="F16" s="6"/>
      <c r="G16" s="6"/>
      <c r="O16" s="411"/>
      <c r="P16" s="40" t="s">
        <v>255</v>
      </c>
      <c r="Q16" s="40" t="s">
        <v>57</v>
      </c>
      <c r="R16" s="74">
        <v>8060</v>
      </c>
      <c r="S16" s="74"/>
      <c r="T16" s="74">
        <v>8060</v>
      </c>
    </row>
    <row r="17" spans="1:20" ht="15.75" thickBot="1" x14ac:dyDescent="0.3">
      <c r="A17" s="6" t="s">
        <v>38</v>
      </c>
      <c r="B17" s="6">
        <v>9300</v>
      </c>
      <c r="C17" s="6">
        <v>7910</v>
      </c>
      <c r="D17" s="6"/>
      <c r="E17" s="6"/>
      <c r="F17" s="6"/>
      <c r="G17" s="6"/>
      <c r="O17" s="411"/>
      <c r="P17" s="40" t="s">
        <v>256</v>
      </c>
      <c r="Q17" s="40" t="s">
        <v>57</v>
      </c>
      <c r="R17" s="74">
        <v>858</v>
      </c>
      <c r="S17" s="74"/>
      <c r="T17" s="74">
        <v>858</v>
      </c>
    </row>
    <row r="18" spans="1:20" ht="15.75" thickBot="1" x14ac:dyDescent="0.3">
      <c r="A18" s="6" t="s">
        <v>39</v>
      </c>
      <c r="B18" s="6">
        <v>22800</v>
      </c>
      <c r="C18" s="6">
        <v>23500</v>
      </c>
      <c r="D18" s="6"/>
      <c r="E18" s="6"/>
      <c r="F18" s="6"/>
      <c r="G18" s="6"/>
      <c r="O18" s="411"/>
      <c r="P18" s="40" t="s">
        <v>257</v>
      </c>
      <c r="Q18" s="40" t="s">
        <v>57</v>
      </c>
      <c r="R18" s="74">
        <v>1650</v>
      </c>
      <c r="S18" s="74"/>
      <c r="T18" s="74">
        <v>1650</v>
      </c>
    </row>
    <row r="19" spans="1:20" ht="15.75" thickBot="1" x14ac:dyDescent="0.3">
      <c r="A19" s="6" t="s">
        <v>40</v>
      </c>
      <c r="B19" s="6">
        <v>17200</v>
      </c>
      <c r="C19" s="6">
        <v>16100</v>
      </c>
      <c r="D19" s="6"/>
      <c r="E19" s="6"/>
      <c r="F19" s="6"/>
      <c r="G19" s="6"/>
      <c r="O19" s="411"/>
      <c r="P19" s="40" t="s">
        <v>258</v>
      </c>
      <c r="Q19" s="40" t="s">
        <v>57</v>
      </c>
      <c r="R19" s="74">
        <v>6630</v>
      </c>
      <c r="S19" s="74"/>
      <c r="T19" s="74">
        <v>6630</v>
      </c>
    </row>
    <row r="20" spans="1:20" x14ac:dyDescent="0.25">
      <c r="O20" s="411"/>
      <c r="P20" s="40" t="s">
        <v>259</v>
      </c>
      <c r="Q20" s="40" t="s">
        <v>57</v>
      </c>
      <c r="R20" s="74">
        <v>11100</v>
      </c>
      <c r="S20" s="74"/>
      <c r="T20" s="74">
        <v>11100</v>
      </c>
    </row>
    <row r="21" spans="1:20" x14ac:dyDescent="0.25">
      <c r="O21" s="411"/>
      <c r="P21" s="40" t="s">
        <v>260</v>
      </c>
      <c r="Q21" s="40" t="s">
        <v>57</v>
      </c>
      <c r="R21" s="74">
        <v>8900</v>
      </c>
      <c r="S21" s="74"/>
      <c r="T21" s="74">
        <v>8900</v>
      </c>
    </row>
    <row r="22" spans="1:20" x14ac:dyDescent="0.25">
      <c r="O22" s="411"/>
      <c r="P22" s="40" t="s">
        <v>261</v>
      </c>
      <c r="Q22" s="40" t="s">
        <v>57</v>
      </c>
      <c r="R22" s="74">
        <v>9540</v>
      </c>
      <c r="S22" s="74"/>
      <c r="T22" s="74">
        <v>9540</v>
      </c>
    </row>
    <row r="23" spans="1:20" x14ac:dyDescent="0.25">
      <c r="O23" s="411"/>
      <c r="P23" s="40" t="s">
        <v>262</v>
      </c>
      <c r="Q23" s="40" t="s">
        <v>57</v>
      </c>
      <c r="R23" s="74">
        <v>9200</v>
      </c>
      <c r="S23" s="74"/>
      <c r="T23" s="74">
        <v>9200</v>
      </c>
    </row>
    <row r="24" spans="1:20" x14ac:dyDescent="0.25">
      <c r="O24" s="411"/>
      <c r="P24" s="40" t="s">
        <v>263</v>
      </c>
      <c r="Q24" s="40" t="s">
        <v>57</v>
      </c>
      <c r="R24" s="74">
        <v>8550</v>
      </c>
      <c r="S24" s="74"/>
      <c r="T24" s="74">
        <v>8550</v>
      </c>
    </row>
    <row r="25" spans="1:20" x14ac:dyDescent="0.25">
      <c r="O25" s="411"/>
      <c r="P25" s="40" t="s">
        <v>264</v>
      </c>
      <c r="Q25" s="40" t="s">
        <v>57</v>
      </c>
      <c r="R25" s="74">
        <v>7910</v>
      </c>
      <c r="S25" s="74"/>
      <c r="T25" s="74">
        <v>7910</v>
      </c>
    </row>
    <row r="26" spans="1:20" x14ac:dyDescent="0.25">
      <c r="O26" s="411"/>
      <c r="P26" s="40" t="s">
        <v>265</v>
      </c>
      <c r="Q26" s="40" t="s">
        <v>57</v>
      </c>
      <c r="R26" s="74">
        <v>7190</v>
      </c>
      <c r="S26" s="74"/>
      <c r="T26" s="74">
        <v>7190</v>
      </c>
    </row>
    <row r="27" spans="1:20" x14ac:dyDescent="0.25">
      <c r="O27" s="411"/>
      <c r="P27" s="40" t="s">
        <v>266</v>
      </c>
      <c r="Q27" s="40" t="s">
        <v>57</v>
      </c>
      <c r="R27" s="74">
        <v>9200</v>
      </c>
      <c r="S27" s="74"/>
      <c r="T27" s="74">
        <v>9200</v>
      </c>
    </row>
    <row r="28" spans="1:20" x14ac:dyDescent="0.25">
      <c r="O28" s="411"/>
      <c r="P28" s="40" t="s">
        <v>267</v>
      </c>
      <c r="Q28" s="40" t="s">
        <v>57</v>
      </c>
      <c r="R28" s="74">
        <v>23500</v>
      </c>
      <c r="S28" s="74"/>
      <c r="T28" s="74">
        <v>23500</v>
      </c>
    </row>
    <row r="29" spans="1:20" x14ac:dyDescent="0.25">
      <c r="O29" s="411"/>
      <c r="P29" s="40" t="s">
        <v>268</v>
      </c>
      <c r="Q29" s="40" t="s">
        <v>57</v>
      </c>
      <c r="R29" s="74">
        <v>16</v>
      </c>
      <c r="S29" s="74"/>
      <c r="T29" s="74">
        <v>16</v>
      </c>
    </row>
    <row r="30" spans="1:20" x14ac:dyDescent="0.25">
      <c r="O30" s="411"/>
      <c r="P30" s="40" t="s">
        <v>269</v>
      </c>
      <c r="Q30" s="40" t="s">
        <v>57</v>
      </c>
      <c r="R30" s="74">
        <v>4</v>
      </c>
      <c r="S30" s="74"/>
      <c r="T30" s="74">
        <v>4</v>
      </c>
    </row>
    <row r="31" spans="1:20" x14ac:dyDescent="0.25">
      <c r="O31" s="411"/>
      <c r="P31" s="40" t="s">
        <v>270</v>
      </c>
      <c r="Q31" s="40" t="s">
        <v>57</v>
      </c>
      <c r="R31" s="74">
        <v>1210</v>
      </c>
      <c r="S31" s="74"/>
      <c r="T31" s="74">
        <v>1210</v>
      </c>
    </row>
    <row r="32" spans="1:20" x14ac:dyDescent="0.25">
      <c r="O32" s="411"/>
      <c r="P32" s="40" t="s">
        <v>271</v>
      </c>
      <c r="Q32" s="40" t="s">
        <v>57</v>
      </c>
      <c r="R32" s="74">
        <v>1330</v>
      </c>
      <c r="S32" s="74"/>
      <c r="T32" s="74">
        <v>1330</v>
      </c>
    </row>
    <row r="33" spans="15:20" x14ac:dyDescent="0.25">
      <c r="O33" s="411"/>
      <c r="P33" s="40" t="s">
        <v>272</v>
      </c>
      <c r="Q33" s="40" t="s">
        <v>57</v>
      </c>
      <c r="R33" s="74">
        <v>716</v>
      </c>
      <c r="S33" s="74"/>
      <c r="T33" s="74">
        <v>716</v>
      </c>
    </row>
    <row r="34" spans="15:20" x14ac:dyDescent="0.25">
      <c r="O34" s="411"/>
      <c r="P34" s="40" t="s">
        <v>273</v>
      </c>
      <c r="Q34" s="40" t="s">
        <v>57</v>
      </c>
      <c r="R34" s="74">
        <v>804</v>
      </c>
      <c r="S34" s="74"/>
      <c r="T34" s="74">
        <v>804</v>
      </c>
    </row>
    <row r="35" spans="15:20" x14ac:dyDescent="0.25">
      <c r="O35" s="411"/>
      <c r="P35" s="40" t="s">
        <v>274</v>
      </c>
      <c r="Q35" s="40" t="s">
        <v>57</v>
      </c>
      <c r="R35" s="74">
        <v>16100</v>
      </c>
      <c r="S35" s="74"/>
      <c r="T35" s="74">
        <v>16100</v>
      </c>
    </row>
    <row r="36" spans="15:20" x14ac:dyDescent="0.25">
      <c r="O36" s="45"/>
      <c r="P36" s="45"/>
      <c r="Q36" s="45"/>
      <c r="R36" s="45"/>
      <c r="S36" s="45"/>
      <c r="T36" s="45"/>
    </row>
    <row r="37" spans="15:20" x14ac:dyDescent="0.25">
      <c r="O37" s="45"/>
      <c r="P37" s="45"/>
      <c r="Q37" s="45"/>
      <c r="R37" s="45"/>
      <c r="S37" s="45"/>
      <c r="T37" s="45"/>
    </row>
    <row r="38" spans="15:20" ht="30" x14ac:dyDescent="0.25">
      <c r="O38" s="76"/>
      <c r="P38" s="76"/>
      <c r="Q38" s="76"/>
      <c r="R38" s="77" t="s">
        <v>237</v>
      </c>
      <c r="S38" s="77" t="s">
        <v>238</v>
      </c>
      <c r="T38" s="77" t="s">
        <v>239</v>
      </c>
    </row>
    <row r="39" spans="15:20" ht="18" x14ac:dyDescent="0.35">
      <c r="O39" s="39" t="s">
        <v>123</v>
      </c>
      <c r="P39" s="39" t="s">
        <v>240</v>
      </c>
      <c r="Q39" s="39" t="s">
        <v>124</v>
      </c>
      <c r="R39" s="40" t="s">
        <v>125</v>
      </c>
      <c r="S39" s="40" t="s">
        <v>125</v>
      </c>
      <c r="T39" s="40" t="s">
        <v>125</v>
      </c>
    </row>
    <row r="40" spans="15:20" x14ac:dyDescent="0.25">
      <c r="O40" s="411" t="s">
        <v>275</v>
      </c>
      <c r="P40" s="40" t="s">
        <v>276</v>
      </c>
      <c r="Q40" s="40" t="s">
        <v>57</v>
      </c>
      <c r="R40" s="74">
        <v>18</v>
      </c>
      <c r="S40" s="74">
        <v>1112</v>
      </c>
      <c r="T40" s="74">
        <v>1130</v>
      </c>
    </row>
    <row r="41" spans="15:20" x14ac:dyDescent="0.25">
      <c r="O41" s="411"/>
      <c r="P41" s="40" t="s">
        <v>277</v>
      </c>
      <c r="Q41" s="40" t="s">
        <v>57</v>
      </c>
      <c r="R41" s="74">
        <v>15</v>
      </c>
      <c r="S41" s="74">
        <v>1221</v>
      </c>
      <c r="T41" s="74">
        <v>1236</v>
      </c>
    </row>
    <row r="42" spans="15:20" x14ac:dyDescent="0.25">
      <c r="O42" s="411"/>
      <c r="P42" s="40" t="s">
        <v>278</v>
      </c>
      <c r="Q42" s="40" t="s">
        <v>57</v>
      </c>
      <c r="R42" s="74">
        <v>21</v>
      </c>
      <c r="S42" s="74">
        <v>855</v>
      </c>
      <c r="T42" s="74">
        <v>876</v>
      </c>
    </row>
    <row r="43" spans="15:20" x14ac:dyDescent="0.25">
      <c r="O43" s="411"/>
      <c r="P43" s="40" t="s">
        <v>279</v>
      </c>
      <c r="Q43" s="40" t="s">
        <v>57</v>
      </c>
      <c r="R43" s="74">
        <v>1902</v>
      </c>
      <c r="S43" s="74">
        <v>669</v>
      </c>
      <c r="T43" s="74">
        <v>2571</v>
      </c>
    </row>
    <row r="44" spans="15:20" x14ac:dyDescent="0.25">
      <c r="O44" s="411"/>
      <c r="P44" s="40" t="s">
        <v>280</v>
      </c>
      <c r="Q44" s="40" t="s">
        <v>57</v>
      </c>
      <c r="R44" s="74">
        <v>1205</v>
      </c>
      <c r="S44" s="74">
        <v>1056</v>
      </c>
      <c r="T44" s="74">
        <v>2261</v>
      </c>
    </row>
    <row r="45" spans="15:20" x14ac:dyDescent="0.25">
      <c r="O45" s="411"/>
      <c r="P45" s="40" t="s">
        <v>281</v>
      </c>
      <c r="Q45" s="40" t="s">
        <v>57</v>
      </c>
      <c r="R45" s="74">
        <v>1780</v>
      </c>
      <c r="S45" s="74">
        <v>1320</v>
      </c>
      <c r="T45" s="74">
        <v>3100</v>
      </c>
    </row>
    <row r="46" spans="15:20" x14ac:dyDescent="0.25">
      <c r="O46" s="411"/>
      <c r="P46" s="40" t="s">
        <v>282</v>
      </c>
      <c r="Q46" s="40" t="s">
        <v>57</v>
      </c>
      <c r="R46" s="74">
        <v>3471</v>
      </c>
      <c r="S46" s="74">
        <v>986</v>
      </c>
      <c r="T46" s="74">
        <v>4457</v>
      </c>
    </row>
    <row r="47" spans="15:20" x14ac:dyDescent="0.25">
      <c r="O47" s="411"/>
      <c r="P47" s="40" t="s">
        <v>283</v>
      </c>
      <c r="Q47" s="40" t="s">
        <v>57</v>
      </c>
      <c r="R47" s="74">
        <v>3943</v>
      </c>
      <c r="S47" s="74"/>
      <c r="T47" s="74">
        <v>3943</v>
      </c>
    </row>
    <row r="48" spans="15:20" x14ac:dyDescent="0.25">
      <c r="O48" s="411"/>
      <c r="P48" s="40" t="s">
        <v>284</v>
      </c>
      <c r="Q48" s="40" t="s">
        <v>57</v>
      </c>
      <c r="R48" s="74">
        <v>3920</v>
      </c>
      <c r="S48" s="74">
        <v>901</v>
      </c>
      <c r="T48" s="74">
        <v>4821</v>
      </c>
    </row>
    <row r="49" spans="15:20" x14ac:dyDescent="0.25">
      <c r="O49" s="411"/>
      <c r="P49" s="40" t="s">
        <v>285</v>
      </c>
      <c r="Q49" s="40" t="s">
        <v>57</v>
      </c>
      <c r="R49" s="74"/>
      <c r="S49" s="74">
        <v>1780</v>
      </c>
      <c r="T49" s="74">
        <v>1780</v>
      </c>
    </row>
    <row r="50" spans="15:20" x14ac:dyDescent="0.25">
      <c r="O50" s="411"/>
      <c r="P50" s="40" t="s">
        <v>286</v>
      </c>
      <c r="Q50" s="40" t="s">
        <v>57</v>
      </c>
      <c r="R50" s="74">
        <v>1923</v>
      </c>
      <c r="S50" s="74"/>
      <c r="T50" s="74">
        <v>1923</v>
      </c>
    </row>
    <row r="51" spans="15:20" x14ac:dyDescent="0.25">
      <c r="O51" s="411"/>
      <c r="P51" s="40" t="s">
        <v>287</v>
      </c>
      <c r="Q51" s="40" t="s">
        <v>57</v>
      </c>
      <c r="R51" s="74">
        <v>2547</v>
      </c>
      <c r="S51" s="74"/>
      <c r="T51" s="74">
        <v>2547</v>
      </c>
    </row>
    <row r="52" spans="15:20" x14ac:dyDescent="0.25">
      <c r="O52" s="411"/>
      <c r="P52" s="40" t="s">
        <v>288</v>
      </c>
      <c r="Q52" s="40" t="s">
        <v>57</v>
      </c>
      <c r="R52" s="233">
        <v>1624</v>
      </c>
      <c r="S52" s="233"/>
      <c r="T52" s="233">
        <v>1624</v>
      </c>
    </row>
    <row r="53" spans="15:20" x14ac:dyDescent="0.25">
      <c r="O53" s="411"/>
      <c r="P53" s="40" t="s">
        <v>289</v>
      </c>
      <c r="Q53" s="40" t="s">
        <v>57</v>
      </c>
      <c r="R53" s="74">
        <v>1487</v>
      </c>
      <c r="S53" s="74"/>
      <c r="T53" s="74">
        <v>1487</v>
      </c>
    </row>
    <row r="54" spans="15:20" x14ac:dyDescent="0.25">
      <c r="O54" s="411"/>
      <c r="P54" s="40" t="s">
        <v>290</v>
      </c>
      <c r="Q54" s="40" t="s">
        <v>57</v>
      </c>
      <c r="R54" s="74">
        <v>1425</v>
      </c>
      <c r="S54" s="74"/>
      <c r="T54" s="74">
        <v>1425</v>
      </c>
    </row>
    <row r="55" spans="15:20" x14ac:dyDescent="0.25">
      <c r="O55" s="411"/>
      <c r="P55" s="40" t="s">
        <v>291</v>
      </c>
      <c r="Q55" s="40" t="s">
        <v>57</v>
      </c>
      <c r="R55" s="74">
        <v>1674</v>
      </c>
      <c r="S55" s="74"/>
      <c r="T55" s="74">
        <v>1674</v>
      </c>
    </row>
    <row r="56" spans="15:20" x14ac:dyDescent="0.25">
      <c r="O56" s="411"/>
      <c r="P56" s="40" t="s">
        <v>292</v>
      </c>
      <c r="Q56" s="40" t="s">
        <v>57</v>
      </c>
      <c r="R56" s="74">
        <v>2430</v>
      </c>
      <c r="S56" s="74">
        <v>827</v>
      </c>
      <c r="T56" s="74">
        <v>3257</v>
      </c>
    </row>
    <row r="57" spans="15:20" x14ac:dyDescent="0.25">
      <c r="O57" s="411"/>
      <c r="P57" s="40" t="s">
        <v>293</v>
      </c>
      <c r="Q57" s="40" t="s">
        <v>57</v>
      </c>
      <c r="R57" s="74"/>
      <c r="S57" s="74">
        <v>1485</v>
      </c>
      <c r="T57" s="74">
        <v>1485</v>
      </c>
    </row>
    <row r="58" spans="15:20" x14ac:dyDescent="0.25">
      <c r="O58" s="411"/>
      <c r="P58" s="40" t="s">
        <v>294</v>
      </c>
      <c r="Q58" s="40" t="s">
        <v>57</v>
      </c>
      <c r="R58" s="74"/>
      <c r="S58" s="74">
        <v>1474</v>
      </c>
      <c r="T58" s="74">
        <v>1474</v>
      </c>
    </row>
    <row r="59" spans="15:20" x14ac:dyDescent="0.25">
      <c r="O59" s="411"/>
      <c r="P59" s="40" t="s">
        <v>295</v>
      </c>
      <c r="Q59" s="40" t="s">
        <v>57</v>
      </c>
      <c r="R59" s="233">
        <v>1924</v>
      </c>
      <c r="S59" s="233"/>
      <c r="T59" s="233">
        <v>1924</v>
      </c>
    </row>
    <row r="60" spans="15:20" x14ac:dyDescent="0.25">
      <c r="O60" s="411"/>
      <c r="P60" s="40" t="s">
        <v>296</v>
      </c>
      <c r="Q60" s="40" t="s">
        <v>57</v>
      </c>
      <c r="R60" s="74">
        <v>2048</v>
      </c>
      <c r="S60" s="74"/>
      <c r="T60" s="74">
        <v>2048</v>
      </c>
    </row>
    <row r="61" spans="15:20" x14ac:dyDescent="0.25">
      <c r="O61" s="411"/>
      <c r="P61" s="40" t="s">
        <v>297</v>
      </c>
      <c r="Q61" s="40" t="s">
        <v>57</v>
      </c>
      <c r="R61" s="74">
        <v>15</v>
      </c>
      <c r="S61" s="74">
        <v>1540</v>
      </c>
      <c r="T61" s="74">
        <v>1555</v>
      </c>
    </row>
    <row r="62" spans="15:20" x14ac:dyDescent="0.25">
      <c r="O62" s="411"/>
      <c r="P62" s="40" t="s">
        <v>298</v>
      </c>
      <c r="Q62" s="40" t="s">
        <v>57</v>
      </c>
      <c r="R62" s="74">
        <v>4</v>
      </c>
      <c r="S62" s="74">
        <v>1654</v>
      </c>
      <c r="T62" s="74">
        <v>1659</v>
      </c>
    </row>
    <row r="63" spans="15:20" x14ac:dyDescent="0.25">
      <c r="O63" s="411"/>
      <c r="P63" s="40" t="s">
        <v>299</v>
      </c>
      <c r="Q63" s="40" t="s">
        <v>57</v>
      </c>
      <c r="R63" s="74">
        <v>445</v>
      </c>
      <c r="S63" s="74">
        <v>1727</v>
      </c>
      <c r="T63" s="74">
        <v>2172</v>
      </c>
    </row>
    <row r="64" spans="15:20" x14ac:dyDescent="0.25">
      <c r="O64" s="411"/>
      <c r="P64" s="40" t="s">
        <v>300</v>
      </c>
      <c r="Q64" s="40" t="s">
        <v>57</v>
      </c>
      <c r="R64" s="74">
        <v>1945</v>
      </c>
      <c r="S64" s="74"/>
      <c r="T64" s="74">
        <v>1945</v>
      </c>
    </row>
    <row r="65" spans="15:20" x14ac:dyDescent="0.25">
      <c r="O65" s="411"/>
      <c r="P65" s="40" t="s">
        <v>301</v>
      </c>
      <c r="Q65" s="40" t="s">
        <v>57</v>
      </c>
      <c r="R65" s="74"/>
      <c r="S65" s="74">
        <v>1375</v>
      </c>
      <c r="T65" s="74">
        <v>1375</v>
      </c>
    </row>
    <row r="66" spans="15:20" x14ac:dyDescent="0.25">
      <c r="O66" s="411"/>
      <c r="P66" s="40" t="s">
        <v>302</v>
      </c>
      <c r="Q66" s="40" t="s">
        <v>57</v>
      </c>
      <c r="R66" s="74"/>
      <c r="S66" s="74">
        <v>1274</v>
      </c>
      <c r="T66" s="74">
        <v>1274</v>
      </c>
    </row>
    <row r="67" spans="15:20" x14ac:dyDescent="0.25">
      <c r="O67" s="411"/>
      <c r="P67" s="40" t="s">
        <v>303</v>
      </c>
      <c r="Q67" s="40" t="s">
        <v>57</v>
      </c>
      <c r="R67" s="74">
        <v>25</v>
      </c>
      <c r="S67" s="74">
        <v>1443</v>
      </c>
      <c r="T67" s="74">
        <v>1468</v>
      </c>
    </row>
    <row r="68" spans="15:20" x14ac:dyDescent="0.25">
      <c r="O68" s="411"/>
      <c r="P68" s="40" t="s">
        <v>304</v>
      </c>
      <c r="Q68" s="40" t="s">
        <v>57</v>
      </c>
      <c r="R68" s="74">
        <v>104</v>
      </c>
      <c r="S68" s="74">
        <v>440</v>
      </c>
      <c r="T68" s="74">
        <v>544</v>
      </c>
    </row>
    <row r="69" spans="15:20" x14ac:dyDescent="0.25">
      <c r="O69" s="411"/>
      <c r="P69" s="40" t="s">
        <v>305</v>
      </c>
      <c r="Q69" s="40" t="s">
        <v>57</v>
      </c>
      <c r="R69" s="74">
        <v>767</v>
      </c>
      <c r="S69" s="74">
        <v>208</v>
      </c>
      <c r="T69" s="74">
        <v>975</v>
      </c>
    </row>
    <row r="70" spans="15:20" x14ac:dyDescent="0.25">
      <c r="O70" s="411"/>
      <c r="P70" s="40" t="s">
        <v>306</v>
      </c>
      <c r="Q70" s="40" t="s">
        <v>57</v>
      </c>
      <c r="R70" s="233">
        <v>2127</v>
      </c>
      <c r="S70" s="233"/>
      <c r="T70" s="233">
        <v>2127</v>
      </c>
    </row>
    <row r="71" spans="15:20" x14ac:dyDescent="0.25">
      <c r="O71" s="411"/>
      <c r="P71" s="40" t="s">
        <v>307</v>
      </c>
      <c r="Q71" s="40" t="s">
        <v>57</v>
      </c>
      <c r="R71" s="74">
        <v>2742</v>
      </c>
      <c r="S71" s="74"/>
      <c r="T71" s="74">
        <v>2742</v>
      </c>
    </row>
    <row r="72" spans="15:20" x14ac:dyDescent="0.25">
      <c r="O72" s="411"/>
      <c r="P72" s="40" t="s">
        <v>308</v>
      </c>
      <c r="Q72" s="40" t="s">
        <v>57</v>
      </c>
      <c r="R72" s="74">
        <v>1643</v>
      </c>
      <c r="S72" s="74"/>
      <c r="T72" s="74">
        <v>1643</v>
      </c>
    </row>
    <row r="73" spans="15:20" x14ac:dyDescent="0.25">
      <c r="O73" s="411"/>
      <c r="P73" s="40" t="s">
        <v>309</v>
      </c>
      <c r="Q73" s="40" t="s">
        <v>57</v>
      </c>
      <c r="R73" s="74">
        <v>3</v>
      </c>
      <c r="S73" s="74">
        <v>1690</v>
      </c>
      <c r="T73" s="74">
        <v>1693</v>
      </c>
    </row>
    <row r="74" spans="15:20" x14ac:dyDescent="0.25">
      <c r="O74" s="411"/>
      <c r="P74" s="40" t="s">
        <v>310</v>
      </c>
      <c r="Q74" s="40" t="s">
        <v>57</v>
      </c>
      <c r="R74" s="74">
        <v>2688</v>
      </c>
      <c r="S74" s="74"/>
      <c r="T74" s="74">
        <v>2688</v>
      </c>
    </row>
    <row r="75" spans="15:20" x14ac:dyDescent="0.25">
      <c r="O75" s="411"/>
      <c r="P75" s="40" t="s">
        <v>311</v>
      </c>
      <c r="Q75" s="40" t="s">
        <v>57</v>
      </c>
      <c r="R75" s="74">
        <v>2161</v>
      </c>
      <c r="S75" s="74"/>
      <c r="T75" s="74">
        <v>2161</v>
      </c>
    </row>
    <row r="76" spans="15:20" x14ac:dyDescent="0.25">
      <c r="O76" s="411"/>
      <c r="P76" s="40" t="s">
        <v>312</v>
      </c>
      <c r="Q76" s="40" t="s">
        <v>57</v>
      </c>
      <c r="R76" s="74">
        <v>1144</v>
      </c>
      <c r="S76" s="74">
        <v>238</v>
      </c>
      <c r="T76" s="74">
        <v>1382</v>
      </c>
    </row>
    <row r="77" spans="15:20" x14ac:dyDescent="0.25">
      <c r="O77" s="411"/>
      <c r="P77" s="40" t="s">
        <v>313</v>
      </c>
      <c r="Q77" s="40" t="s">
        <v>57</v>
      </c>
      <c r="R77" s="74">
        <v>2385</v>
      </c>
      <c r="S77" s="74"/>
      <c r="T77" s="74">
        <v>2385</v>
      </c>
    </row>
    <row r="78" spans="15:20" x14ac:dyDescent="0.25">
      <c r="O78" s="411"/>
      <c r="P78" s="40" t="s">
        <v>314</v>
      </c>
      <c r="Q78" s="40" t="s">
        <v>57</v>
      </c>
      <c r="R78" s="74">
        <v>2890</v>
      </c>
      <c r="S78" s="74"/>
      <c r="T78" s="74">
        <v>2890</v>
      </c>
    </row>
    <row r="79" spans="15:20" x14ac:dyDescent="0.25">
      <c r="O79" s="411"/>
      <c r="P79" s="40" t="s">
        <v>315</v>
      </c>
      <c r="Q79" s="40" t="s">
        <v>57</v>
      </c>
      <c r="R79" s="74">
        <v>2847</v>
      </c>
      <c r="S79" s="74"/>
      <c r="T79" s="74">
        <v>2847</v>
      </c>
    </row>
    <row r="80" spans="15:20" x14ac:dyDescent="0.25">
      <c r="O80" s="411"/>
      <c r="P80" s="40" t="s">
        <v>316</v>
      </c>
      <c r="Q80" s="40" t="s">
        <v>57</v>
      </c>
      <c r="R80" s="74">
        <v>2290</v>
      </c>
      <c r="S80" s="74"/>
      <c r="T80" s="74">
        <v>2290</v>
      </c>
    </row>
    <row r="81" spans="15:20" x14ac:dyDescent="0.25">
      <c r="O81" s="411"/>
      <c r="P81" s="40" t="s">
        <v>317</v>
      </c>
      <c r="Q81" s="40" t="s">
        <v>57</v>
      </c>
      <c r="R81" s="74">
        <v>2794</v>
      </c>
      <c r="S81" s="74"/>
      <c r="T81" s="74">
        <v>2794</v>
      </c>
    </row>
    <row r="82" spans="15:20" x14ac:dyDescent="0.25">
      <c r="O82" s="411"/>
      <c r="P82" s="40" t="s">
        <v>318</v>
      </c>
      <c r="Q82" s="40" t="s">
        <v>57</v>
      </c>
      <c r="R82" s="74">
        <v>2473</v>
      </c>
      <c r="S82" s="74"/>
      <c r="T82" s="74">
        <v>2473</v>
      </c>
    </row>
    <row r="83" spans="15:20" x14ac:dyDescent="0.25">
      <c r="O83" s="411"/>
      <c r="P83" s="40" t="s">
        <v>319</v>
      </c>
      <c r="Q83" s="40" t="s">
        <v>57</v>
      </c>
      <c r="R83" s="74">
        <v>2350</v>
      </c>
      <c r="S83" s="74"/>
      <c r="T83" s="74">
        <v>2350</v>
      </c>
    </row>
    <row r="84" spans="15:20" x14ac:dyDescent="0.25">
      <c r="O84" s="411"/>
      <c r="P84" s="40" t="s">
        <v>320</v>
      </c>
      <c r="Q84" s="40" t="s">
        <v>57</v>
      </c>
      <c r="R84" s="74">
        <v>2274</v>
      </c>
      <c r="S84" s="74"/>
      <c r="T84" s="74">
        <v>2274</v>
      </c>
    </row>
    <row r="85" spans="15:20" x14ac:dyDescent="0.25">
      <c r="O85" s="411"/>
      <c r="P85" s="40" t="s">
        <v>321</v>
      </c>
      <c r="Q85" s="40" t="s">
        <v>57</v>
      </c>
      <c r="R85" s="74">
        <v>2212</v>
      </c>
      <c r="S85" s="74"/>
      <c r="T85" s="74">
        <v>2212</v>
      </c>
    </row>
    <row r="86" spans="15:20" x14ac:dyDescent="0.25">
      <c r="O86" s="411"/>
      <c r="P86" s="40" t="s">
        <v>322</v>
      </c>
      <c r="Q86" s="40" t="s">
        <v>57</v>
      </c>
      <c r="R86" s="74">
        <v>1431</v>
      </c>
      <c r="S86" s="74"/>
      <c r="T86" s="74">
        <v>1431</v>
      </c>
    </row>
    <row r="87" spans="15:20" x14ac:dyDescent="0.25">
      <c r="O87" s="411"/>
      <c r="P87" s="40" t="s">
        <v>323</v>
      </c>
      <c r="Q87" s="40" t="s">
        <v>57</v>
      </c>
      <c r="R87" s="74">
        <v>1371</v>
      </c>
      <c r="S87" s="74"/>
      <c r="T87" s="74">
        <v>1371</v>
      </c>
    </row>
    <row r="88" spans="15:20" x14ac:dyDescent="0.25">
      <c r="O88" s="411"/>
      <c r="P88" s="40" t="s">
        <v>324</v>
      </c>
      <c r="Q88" s="40" t="s">
        <v>57</v>
      </c>
      <c r="R88" s="74">
        <v>2024</v>
      </c>
      <c r="S88" s="74"/>
      <c r="T88" s="74">
        <v>2024</v>
      </c>
    </row>
    <row r="89" spans="15:20" x14ac:dyDescent="0.25">
      <c r="O89" s="411"/>
      <c r="P89" s="40" t="s">
        <v>325</v>
      </c>
      <c r="Q89" s="40" t="s">
        <v>57</v>
      </c>
      <c r="R89" s="74">
        <v>3417</v>
      </c>
      <c r="S89" s="74"/>
      <c r="T89" s="74">
        <v>3417</v>
      </c>
    </row>
    <row r="90" spans="15:20" x14ac:dyDescent="0.25">
      <c r="O90" s="411"/>
      <c r="P90" s="40" t="s">
        <v>326</v>
      </c>
      <c r="Q90" s="40" t="s">
        <v>57</v>
      </c>
      <c r="R90" s="74">
        <v>13.8</v>
      </c>
      <c r="S90" s="74">
        <v>1.5</v>
      </c>
      <c r="T90" s="74">
        <v>15.3</v>
      </c>
    </row>
    <row r="91" spans="15:20" x14ac:dyDescent="0.25">
      <c r="O91" s="411"/>
      <c r="P91" s="40" t="s">
        <v>327</v>
      </c>
      <c r="Q91" s="40" t="s">
        <v>57</v>
      </c>
      <c r="R91" s="74">
        <v>105</v>
      </c>
      <c r="S91" s="74">
        <v>1</v>
      </c>
      <c r="T91" s="74">
        <v>106</v>
      </c>
    </row>
    <row r="92" spans="15:20" x14ac:dyDescent="0.25">
      <c r="O92" s="411"/>
      <c r="P92" s="40" t="s">
        <v>328</v>
      </c>
      <c r="Q92" s="40" t="s">
        <v>57</v>
      </c>
      <c r="R92" s="74">
        <v>40</v>
      </c>
      <c r="S92" s="74"/>
      <c r="T92" s="74">
        <v>40</v>
      </c>
    </row>
    <row r="93" spans="15:20" x14ac:dyDescent="0.25">
      <c r="O93" s="411"/>
      <c r="P93" s="40" t="s">
        <v>329</v>
      </c>
      <c r="Q93" s="40" t="s">
        <v>57</v>
      </c>
      <c r="R93" s="74"/>
      <c r="S93" s="74">
        <v>1.8</v>
      </c>
      <c r="T93" s="74">
        <v>1.8</v>
      </c>
    </row>
    <row r="94" spans="15:20" x14ac:dyDescent="0.25">
      <c r="O94" s="411"/>
      <c r="P94" s="40" t="s">
        <v>330</v>
      </c>
      <c r="Q94" s="40" t="s">
        <v>57</v>
      </c>
      <c r="R94" s="74"/>
      <c r="S94" s="74">
        <v>0.64</v>
      </c>
      <c r="T94" s="74">
        <v>0.64</v>
      </c>
    </row>
    <row r="95" spans="15:20" x14ac:dyDescent="0.25">
      <c r="O95" s="411"/>
      <c r="P95" s="40" t="s">
        <v>331</v>
      </c>
      <c r="Q95" s="40" t="s">
        <v>57</v>
      </c>
      <c r="R95" s="74"/>
      <c r="S95" s="74">
        <v>0.16</v>
      </c>
      <c r="T95" s="74">
        <v>0.16</v>
      </c>
    </row>
    <row r="96" spans="15:20" x14ac:dyDescent="0.25">
      <c r="O96" s="411"/>
      <c r="P96" s="40" t="s">
        <v>332</v>
      </c>
      <c r="Q96" s="40" t="s">
        <v>57</v>
      </c>
      <c r="R96" s="74"/>
      <c r="S96" s="74">
        <v>0.55000000000000004</v>
      </c>
      <c r="T96" s="74">
        <v>0.55000000000000004</v>
      </c>
    </row>
    <row r="97" spans="15:20" x14ac:dyDescent="0.25">
      <c r="O97" s="411"/>
      <c r="P97" s="40" t="s">
        <v>333</v>
      </c>
      <c r="Q97" s="40" t="s">
        <v>57</v>
      </c>
      <c r="R97" s="74">
        <v>3075</v>
      </c>
      <c r="S97" s="74"/>
      <c r="T97" s="74">
        <v>3076</v>
      </c>
    </row>
    <row r="98" spans="15:20" x14ac:dyDescent="0.25">
      <c r="O98" s="411"/>
      <c r="P98" s="40" t="s">
        <v>334</v>
      </c>
      <c r="Q98" s="40" t="s">
        <v>57</v>
      </c>
      <c r="R98" s="74">
        <v>27.6</v>
      </c>
      <c r="S98" s="74">
        <v>0.8</v>
      </c>
      <c r="T98" s="74">
        <v>28.4</v>
      </c>
    </row>
    <row r="99" spans="15:20" x14ac:dyDescent="0.25">
      <c r="O99" s="411"/>
      <c r="P99" s="40" t="s">
        <v>335</v>
      </c>
      <c r="Q99" s="40" t="s">
        <v>57</v>
      </c>
      <c r="R99" s="74"/>
      <c r="S99" s="74">
        <v>1.35</v>
      </c>
      <c r="T99" s="74">
        <v>1.35</v>
      </c>
    </row>
    <row r="100" spans="15:20" x14ac:dyDescent="0.25">
      <c r="O100" s="411"/>
      <c r="P100" s="40" t="s">
        <v>336</v>
      </c>
      <c r="Q100" s="40" t="s">
        <v>57</v>
      </c>
      <c r="R100" s="74"/>
      <c r="S100" s="74">
        <v>1.47</v>
      </c>
      <c r="T100" s="74">
        <v>1.47</v>
      </c>
    </row>
    <row r="101" spans="15:20" x14ac:dyDescent="0.25">
      <c r="O101" s="411"/>
      <c r="P101" s="40" t="s">
        <v>337</v>
      </c>
      <c r="Q101" s="40" t="s">
        <v>57</v>
      </c>
      <c r="R101" s="74">
        <v>1639</v>
      </c>
      <c r="S101" s="74"/>
      <c r="T101" s="74">
        <v>1639</v>
      </c>
    </row>
    <row r="102" spans="15:20" x14ac:dyDescent="0.25">
      <c r="O102" s="411"/>
      <c r="P102" s="40" t="s">
        <v>338</v>
      </c>
      <c r="Q102" s="40" t="s">
        <v>57</v>
      </c>
      <c r="R102" s="74">
        <v>2059</v>
      </c>
      <c r="S102" s="74"/>
      <c r="T102" s="74">
        <v>2059</v>
      </c>
    </row>
    <row r="103" spans="15:20" x14ac:dyDescent="0.25">
      <c r="O103" s="411"/>
      <c r="P103" s="40" t="s">
        <v>339</v>
      </c>
      <c r="Q103" s="40" t="s">
        <v>57</v>
      </c>
      <c r="R103" s="74">
        <v>1828</v>
      </c>
      <c r="S103" s="74"/>
      <c r="T103" s="74">
        <v>1828</v>
      </c>
    </row>
    <row r="104" spans="15:20" x14ac:dyDescent="0.25">
      <c r="O104" s="411"/>
      <c r="P104" s="40" t="s">
        <v>340</v>
      </c>
      <c r="Q104" s="40" t="s">
        <v>57</v>
      </c>
      <c r="R104" s="74">
        <v>156</v>
      </c>
      <c r="S104" s="74"/>
      <c r="T104" s="74">
        <v>156</v>
      </c>
    </row>
    <row r="105" spans="15:20" x14ac:dyDescent="0.25">
      <c r="O105" s="411"/>
      <c r="P105" s="40" t="s">
        <v>341</v>
      </c>
      <c r="Q105" s="40" t="s">
        <v>57</v>
      </c>
      <c r="R105" s="74"/>
      <c r="S105" s="74">
        <v>0.23</v>
      </c>
      <c r="T105" s="74">
        <v>0.23</v>
      </c>
    </row>
    <row r="106" spans="15:20" x14ac:dyDescent="0.25">
      <c r="O106" s="411"/>
      <c r="P106" s="40" t="s">
        <v>342</v>
      </c>
      <c r="Q106" s="40" t="s">
        <v>57</v>
      </c>
      <c r="R106" s="74">
        <v>1754</v>
      </c>
      <c r="S106" s="74"/>
      <c r="T106" s="74">
        <v>1754</v>
      </c>
    </row>
    <row r="107" spans="15:20" x14ac:dyDescent="0.25">
      <c r="O107" s="411"/>
      <c r="P107" s="40" t="s">
        <v>343</v>
      </c>
      <c r="Q107" s="40" t="s">
        <v>57</v>
      </c>
      <c r="R107" s="74"/>
      <c r="S107" s="74">
        <v>1</v>
      </c>
      <c r="T107" s="74">
        <v>1</v>
      </c>
    </row>
    <row r="108" spans="15:20" x14ac:dyDescent="0.25">
      <c r="O108" s="411"/>
      <c r="P108" s="40" t="s">
        <v>344</v>
      </c>
      <c r="Q108" s="40" t="s">
        <v>57</v>
      </c>
      <c r="R108" s="74">
        <v>88</v>
      </c>
      <c r="S108" s="74">
        <v>1</v>
      </c>
      <c r="T108" s="74">
        <v>89</v>
      </c>
    </row>
    <row r="109" spans="15:20" x14ac:dyDescent="0.25">
      <c r="O109" s="411"/>
      <c r="P109" s="40" t="s">
        <v>345</v>
      </c>
      <c r="Q109" s="40" t="s">
        <v>57</v>
      </c>
      <c r="R109" s="74">
        <v>117</v>
      </c>
      <c r="S109" s="74">
        <v>1</v>
      </c>
      <c r="T109" s="74">
        <v>118</v>
      </c>
    </row>
    <row r="110" spans="15:20" x14ac:dyDescent="0.25">
      <c r="O110" s="411"/>
      <c r="P110" s="40" t="s">
        <v>346</v>
      </c>
      <c r="Q110" s="40" t="s">
        <v>57</v>
      </c>
      <c r="R110" s="74">
        <v>36</v>
      </c>
      <c r="S110" s="74">
        <v>7528</v>
      </c>
      <c r="T110" s="74">
        <v>7564</v>
      </c>
    </row>
    <row r="111" spans="15:20" x14ac:dyDescent="0.25">
      <c r="O111" s="411"/>
      <c r="P111" s="40" t="s">
        <v>347</v>
      </c>
      <c r="Q111" s="40" t="s">
        <v>57</v>
      </c>
      <c r="R111" s="74"/>
      <c r="S111" s="74">
        <v>3870</v>
      </c>
      <c r="T111" s="74">
        <v>3870</v>
      </c>
    </row>
    <row r="112" spans="15:20" x14ac:dyDescent="0.25">
      <c r="O112" s="411"/>
      <c r="P112" s="40" t="s">
        <v>348</v>
      </c>
      <c r="Q112" s="40" t="s">
        <v>57</v>
      </c>
      <c r="R112" s="74"/>
      <c r="S112" s="74">
        <v>4786</v>
      </c>
      <c r="T112" s="74">
        <v>4786</v>
      </c>
    </row>
    <row r="113" spans="15:20" x14ac:dyDescent="0.25">
      <c r="O113" s="411"/>
      <c r="P113" s="40" t="s">
        <v>349</v>
      </c>
      <c r="Q113" s="40" t="s">
        <v>57</v>
      </c>
      <c r="R113" s="74">
        <v>4972</v>
      </c>
      <c r="S113" s="74">
        <v>8326</v>
      </c>
      <c r="T113" s="74">
        <v>13299</v>
      </c>
    </row>
    <row r="114" spans="15:20" x14ac:dyDescent="0.25">
      <c r="O114" s="411"/>
      <c r="P114" s="40" t="s">
        <v>350</v>
      </c>
      <c r="Q114" s="40" t="s">
        <v>57</v>
      </c>
      <c r="R114" s="74">
        <v>326</v>
      </c>
      <c r="S114" s="74">
        <v>3973</v>
      </c>
      <c r="T114" s="74">
        <v>4299</v>
      </c>
    </row>
    <row r="115" spans="15:20" x14ac:dyDescent="0.25">
      <c r="O115" s="411"/>
      <c r="P115" s="40" t="s">
        <v>351</v>
      </c>
      <c r="Q115" s="40" t="s">
        <v>57</v>
      </c>
      <c r="R115" s="74"/>
      <c r="S115" s="74">
        <v>7956</v>
      </c>
      <c r="T115" s="74">
        <v>7956</v>
      </c>
    </row>
    <row r="116" spans="15:20" x14ac:dyDescent="0.25">
      <c r="O116" s="411"/>
      <c r="P116" s="40" t="s">
        <v>352</v>
      </c>
      <c r="Q116" s="40" t="s">
        <v>57</v>
      </c>
      <c r="R116" s="74"/>
      <c r="S116" s="74">
        <v>3857</v>
      </c>
      <c r="T116" s="74">
        <v>3857</v>
      </c>
    </row>
    <row r="117" spans="15:20" x14ac:dyDescent="0.25">
      <c r="O117" s="411"/>
      <c r="P117" s="40" t="s">
        <v>353</v>
      </c>
      <c r="Q117" s="40" t="s">
        <v>57</v>
      </c>
      <c r="R117" s="74">
        <v>3985</v>
      </c>
      <c r="S117" s="74"/>
      <c r="T117" s="74">
        <v>3985</v>
      </c>
    </row>
    <row r="118" spans="15:20" x14ac:dyDescent="0.25">
      <c r="O118" s="411"/>
      <c r="P118" s="40" t="s">
        <v>354</v>
      </c>
      <c r="Q118" s="40" t="s">
        <v>57</v>
      </c>
      <c r="R118" s="74">
        <v>11607</v>
      </c>
      <c r="S118" s="74"/>
      <c r="T118" s="74">
        <v>11607</v>
      </c>
    </row>
    <row r="119" spans="15:20" x14ac:dyDescent="0.25">
      <c r="O119" s="411"/>
      <c r="P119" s="40" t="s">
        <v>355</v>
      </c>
      <c r="Q119" s="40" t="s">
        <v>57</v>
      </c>
      <c r="R119" s="74">
        <v>11698</v>
      </c>
      <c r="S119" s="74"/>
      <c r="T119" s="74">
        <v>11698</v>
      </c>
    </row>
    <row r="120" spans="15:20" x14ac:dyDescent="0.25">
      <c r="O120" s="411"/>
      <c r="P120" s="40" t="s">
        <v>356</v>
      </c>
      <c r="Q120" s="40" t="s">
        <v>57</v>
      </c>
      <c r="R120" s="74">
        <v>4984</v>
      </c>
      <c r="S120" s="74">
        <v>774</v>
      </c>
      <c r="T120" s="74">
        <v>5758</v>
      </c>
    </row>
    <row r="121" spans="15:20" x14ac:dyDescent="0.25">
      <c r="O121" s="411"/>
      <c r="P121" s="40" t="s">
        <v>357</v>
      </c>
      <c r="Q121" s="40" t="s">
        <v>57</v>
      </c>
      <c r="R121" s="74"/>
      <c r="S121" s="74">
        <v>1.24</v>
      </c>
      <c r="T121" s="74">
        <v>1.24</v>
      </c>
    </row>
    <row r="122" spans="15:20" x14ac:dyDescent="0.25">
      <c r="O122" s="411"/>
      <c r="P122" s="40" t="s">
        <v>358</v>
      </c>
      <c r="Q122" s="40" t="s">
        <v>57</v>
      </c>
      <c r="R122" s="74">
        <v>6.9</v>
      </c>
      <c r="S122" s="74">
        <v>0.1</v>
      </c>
      <c r="T122" s="74">
        <v>7</v>
      </c>
    </row>
    <row r="123" spans="15:20" x14ac:dyDescent="0.25">
      <c r="O123" s="411"/>
      <c r="P123" s="40" t="s">
        <v>359</v>
      </c>
      <c r="Q123" s="40" t="s">
        <v>57</v>
      </c>
      <c r="R123" s="74">
        <v>196</v>
      </c>
      <c r="S123" s="74"/>
      <c r="T123" s="74">
        <v>196</v>
      </c>
    </row>
    <row r="124" spans="15:20" x14ac:dyDescent="0.25">
      <c r="O124" s="45"/>
      <c r="P124" s="45"/>
      <c r="Q124" s="45"/>
      <c r="R124" s="45"/>
      <c r="S124" s="45"/>
      <c r="T124" s="45"/>
    </row>
    <row r="125" spans="15:20" x14ac:dyDescent="0.25">
      <c r="O125" s="45"/>
      <c r="P125" s="45"/>
      <c r="Q125" s="45"/>
      <c r="R125" s="45"/>
      <c r="S125" s="45"/>
      <c r="T125" s="45"/>
    </row>
    <row r="126" spans="15:20" ht="30" x14ac:dyDescent="0.25">
      <c r="O126" s="76"/>
      <c r="P126" s="76"/>
      <c r="Q126" s="76"/>
      <c r="R126" s="77" t="s">
        <v>237</v>
      </c>
      <c r="S126" s="77" t="s">
        <v>238</v>
      </c>
      <c r="T126" s="77" t="s">
        <v>239</v>
      </c>
    </row>
    <row r="127" spans="15:20" ht="18" x14ac:dyDescent="0.35">
      <c r="O127" s="39" t="s">
        <v>123</v>
      </c>
      <c r="P127" s="39" t="s">
        <v>240</v>
      </c>
      <c r="Q127" s="39" t="s">
        <v>124</v>
      </c>
      <c r="R127" s="40" t="s">
        <v>125</v>
      </c>
      <c r="S127" s="40" t="s">
        <v>125</v>
      </c>
      <c r="T127" s="40" t="s">
        <v>125</v>
      </c>
    </row>
    <row r="128" spans="15:20" x14ac:dyDescent="0.25">
      <c r="O128" s="411" t="s">
        <v>360</v>
      </c>
      <c r="P128" s="40" t="s">
        <v>361</v>
      </c>
      <c r="Q128" s="40" t="s">
        <v>57</v>
      </c>
      <c r="R128" s="74"/>
      <c r="S128" s="74">
        <v>4660</v>
      </c>
      <c r="T128" s="74">
        <v>4660</v>
      </c>
    </row>
    <row r="129" spans="15:20" x14ac:dyDescent="0.25">
      <c r="O129" s="411"/>
      <c r="P129" s="40" t="s">
        <v>362</v>
      </c>
      <c r="Q129" s="40" t="s">
        <v>57</v>
      </c>
      <c r="R129" s="74"/>
      <c r="S129" s="74">
        <v>10200</v>
      </c>
      <c r="T129" s="74">
        <v>10200</v>
      </c>
    </row>
    <row r="130" spans="15:20" x14ac:dyDescent="0.25">
      <c r="O130" s="411"/>
      <c r="P130" s="40" t="s">
        <v>363</v>
      </c>
      <c r="Q130" s="40" t="s">
        <v>57</v>
      </c>
      <c r="R130" s="74"/>
      <c r="S130" s="74">
        <v>13900</v>
      </c>
      <c r="T130" s="74">
        <v>13900</v>
      </c>
    </row>
    <row r="131" spans="15:20" x14ac:dyDescent="0.25">
      <c r="O131" s="411"/>
      <c r="P131" s="40" t="s">
        <v>364</v>
      </c>
      <c r="Q131" s="40" t="s">
        <v>57</v>
      </c>
      <c r="R131" s="74"/>
      <c r="S131" s="74">
        <v>5820</v>
      </c>
      <c r="T131" s="74">
        <v>5820</v>
      </c>
    </row>
    <row r="132" spans="15:20" x14ac:dyDescent="0.25">
      <c r="O132" s="411"/>
      <c r="P132" s="40" t="s">
        <v>365</v>
      </c>
      <c r="Q132" s="40" t="s">
        <v>57</v>
      </c>
      <c r="R132" s="74"/>
      <c r="S132" s="74">
        <v>8590</v>
      </c>
      <c r="T132" s="74">
        <v>8590</v>
      </c>
    </row>
    <row r="133" spans="15:20" x14ac:dyDescent="0.25">
      <c r="O133" s="411"/>
      <c r="P133" s="40" t="s">
        <v>366</v>
      </c>
      <c r="Q133" s="40" t="s">
        <v>57</v>
      </c>
      <c r="R133" s="74"/>
      <c r="S133" s="74">
        <v>7670</v>
      </c>
      <c r="T133" s="74">
        <v>7670</v>
      </c>
    </row>
    <row r="134" spans="15:20" x14ac:dyDescent="0.25">
      <c r="O134" s="411"/>
      <c r="P134" s="40" t="s">
        <v>367</v>
      </c>
      <c r="Q134" s="40" t="s">
        <v>57</v>
      </c>
      <c r="R134" s="74"/>
      <c r="S134" s="74">
        <v>1750</v>
      </c>
      <c r="T134" s="74">
        <v>1750</v>
      </c>
    </row>
    <row r="135" spans="15:20" x14ac:dyDescent="0.25">
      <c r="O135" s="411"/>
      <c r="P135" s="40" t="s">
        <v>368</v>
      </c>
      <c r="Q135" s="40" t="s">
        <v>57</v>
      </c>
      <c r="R135" s="74"/>
      <c r="S135" s="74">
        <v>6290</v>
      </c>
      <c r="T135" s="74">
        <v>6290</v>
      </c>
    </row>
    <row r="136" spans="15:20" x14ac:dyDescent="0.25">
      <c r="O136" s="411"/>
      <c r="P136" s="40" t="s">
        <v>369</v>
      </c>
      <c r="Q136" s="40" t="s">
        <v>57</v>
      </c>
      <c r="R136" s="74"/>
      <c r="S136" s="74">
        <v>1470</v>
      </c>
      <c r="T136" s="74">
        <v>1470</v>
      </c>
    </row>
    <row r="137" spans="15:20" x14ac:dyDescent="0.25">
      <c r="O137" s="411"/>
      <c r="P137" s="40" t="s">
        <v>370</v>
      </c>
      <c r="Q137" s="40" t="s">
        <v>57</v>
      </c>
      <c r="R137" s="74"/>
      <c r="S137" s="74">
        <v>1730</v>
      </c>
      <c r="T137" s="74">
        <v>1730</v>
      </c>
    </row>
    <row r="138" spans="15:20" x14ac:dyDescent="0.25">
      <c r="O138" s="411"/>
      <c r="P138" s="40" t="s">
        <v>371</v>
      </c>
      <c r="Q138" s="40" t="s">
        <v>57</v>
      </c>
      <c r="R138" s="74"/>
      <c r="S138" s="74">
        <v>2</v>
      </c>
      <c r="T138" s="74">
        <v>2</v>
      </c>
    </row>
    <row r="139" spans="15:20" x14ac:dyDescent="0.25">
      <c r="O139" s="411"/>
      <c r="P139" s="40" t="s">
        <v>372</v>
      </c>
      <c r="Q139" s="40" t="s">
        <v>57</v>
      </c>
      <c r="R139" s="74"/>
      <c r="S139" s="74">
        <v>160</v>
      </c>
      <c r="T139" s="74">
        <v>160</v>
      </c>
    </row>
    <row r="140" spans="15:20" x14ac:dyDescent="0.25">
      <c r="O140" s="411"/>
      <c r="P140" s="40" t="s">
        <v>373</v>
      </c>
      <c r="Q140" s="40" t="s">
        <v>57</v>
      </c>
      <c r="R140" s="74"/>
      <c r="S140" s="74">
        <v>1760</v>
      </c>
      <c r="T140" s="74">
        <v>1760</v>
      </c>
    </row>
    <row r="141" spans="15:20" x14ac:dyDescent="0.25">
      <c r="O141" s="411"/>
      <c r="P141" s="40" t="s">
        <v>374</v>
      </c>
      <c r="Q141" s="40" t="s">
        <v>57</v>
      </c>
      <c r="R141" s="74"/>
      <c r="S141" s="74">
        <v>79</v>
      </c>
      <c r="T141" s="74">
        <v>79</v>
      </c>
    </row>
    <row r="142" spans="15:20" x14ac:dyDescent="0.25">
      <c r="O142" s="411"/>
      <c r="P142" s="40" t="s">
        <v>375</v>
      </c>
      <c r="Q142" s="40" t="s">
        <v>57</v>
      </c>
      <c r="R142" s="74"/>
      <c r="S142" s="74">
        <v>527</v>
      </c>
      <c r="T142" s="74">
        <v>527</v>
      </c>
    </row>
    <row r="143" spans="15:20" x14ac:dyDescent="0.25">
      <c r="O143" s="411"/>
      <c r="P143" s="40" t="s">
        <v>376</v>
      </c>
      <c r="Q143" s="40" t="s">
        <v>57</v>
      </c>
      <c r="R143" s="74"/>
      <c r="S143" s="74">
        <v>782</v>
      </c>
      <c r="T143" s="74">
        <v>782</v>
      </c>
    </row>
    <row r="144" spans="15:20" x14ac:dyDescent="0.25">
      <c r="O144" s="411"/>
      <c r="P144" s="40" t="s">
        <v>377</v>
      </c>
      <c r="Q144" s="40" t="s">
        <v>57</v>
      </c>
      <c r="R144" s="74"/>
      <c r="S144" s="74">
        <v>1980</v>
      </c>
      <c r="T144" s="74">
        <v>1980</v>
      </c>
    </row>
    <row r="145" spans="15:20" x14ac:dyDescent="0.25">
      <c r="O145" s="411"/>
      <c r="P145" s="40" t="s">
        <v>378</v>
      </c>
      <c r="Q145" s="40" t="s">
        <v>57</v>
      </c>
      <c r="R145" s="74"/>
      <c r="S145" s="74">
        <v>127</v>
      </c>
      <c r="T145" s="74">
        <v>127</v>
      </c>
    </row>
    <row r="146" spans="15:20" x14ac:dyDescent="0.25">
      <c r="O146" s="411"/>
      <c r="P146" s="40" t="s">
        <v>379</v>
      </c>
      <c r="Q146" s="40" t="s">
        <v>57</v>
      </c>
      <c r="R146" s="74"/>
      <c r="S146" s="74">
        <v>525</v>
      </c>
      <c r="T146" s="74">
        <v>525</v>
      </c>
    </row>
    <row r="147" spans="15:20" x14ac:dyDescent="0.25">
      <c r="O147" s="411"/>
      <c r="P147" s="40" t="s">
        <v>380</v>
      </c>
      <c r="Q147" s="40" t="s">
        <v>57</v>
      </c>
      <c r="R147" s="74"/>
      <c r="S147" s="74">
        <v>148</v>
      </c>
      <c r="T147" s="74">
        <v>148</v>
      </c>
    </row>
    <row r="148" spans="15:20" x14ac:dyDescent="0.25">
      <c r="O148" s="45"/>
      <c r="P148" s="45"/>
      <c r="Q148" s="45"/>
      <c r="R148" s="45"/>
      <c r="S148" s="45"/>
      <c r="T148" s="45"/>
    </row>
    <row r="149" spans="15:20" x14ac:dyDescent="0.25">
      <c r="O149" s="45"/>
      <c r="P149" s="45"/>
      <c r="Q149" s="45"/>
      <c r="R149" s="45"/>
      <c r="S149" s="45"/>
      <c r="T149" s="45"/>
    </row>
    <row r="150" spans="15:20" ht="30" x14ac:dyDescent="0.25">
      <c r="O150" s="76"/>
      <c r="P150" s="76"/>
      <c r="Q150" s="76"/>
      <c r="R150" s="77" t="s">
        <v>237</v>
      </c>
      <c r="S150" s="77" t="s">
        <v>238</v>
      </c>
      <c r="T150" s="77" t="s">
        <v>239</v>
      </c>
    </row>
    <row r="151" spans="15:20" ht="18" x14ac:dyDescent="0.35">
      <c r="O151" s="39" t="s">
        <v>123</v>
      </c>
      <c r="P151" s="39" t="s">
        <v>240</v>
      </c>
      <c r="Q151" s="39" t="s">
        <v>124</v>
      </c>
      <c r="R151" s="40" t="s">
        <v>125</v>
      </c>
      <c r="S151" s="40" t="s">
        <v>125</v>
      </c>
      <c r="T151" s="40" t="s">
        <v>125</v>
      </c>
    </row>
    <row r="152" spans="15:20" x14ac:dyDescent="0.25">
      <c r="O152" s="411" t="s">
        <v>381</v>
      </c>
      <c r="P152" s="40" t="s">
        <v>382</v>
      </c>
      <c r="Q152" s="40" t="s">
        <v>57</v>
      </c>
      <c r="R152" s="74"/>
      <c r="S152" s="74">
        <v>12400</v>
      </c>
      <c r="T152" s="74">
        <v>12400</v>
      </c>
    </row>
    <row r="153" spans="15:20" x14ac:dyDescent="0.25">
      <c r="O153" s="411"/>
      <c r="P153" s="40" t="s">
        <v>383</v>
      </c>
      <c r="Q153" s="40" t="s">
        <v>57</v>
      </c>
      <c r="R153" s="74"/>
      <c r="S153" s="74">
        <v>5560</v>
      </c>
      <c r="T153" s="74">
        <v>5560</v>
      </c>
    </row>
    <row r="154" spans="15:20" x14ac:dyDescent="0.25">
      <c r="O154" s="411"/>
      <c r="P154" s="40" t="s">
        <v>384</v>
      </c>
      <c r="Q154" s="40" t="s">
        <v>57</v>
      </c>
      <c r="R154" s="74"/>
      <c r="S154" s="74">
        <v>523</v>
      </c>
      <c r="T154" s="74">
        <v>523</v>
      </c>
    </row>
    <row r="155" spans="15:20" x14ac:dyDescent="0.25">
      <c r="O155" s="411"/>
      <c r="P155" s="40" t="s">
        <v>385</v>
      </c>
      <c r="Q155" s="40" t="s">
        <v>57</v>
      </c>
      <c r="R155" s="74"/>
      <c r="S155" s="74">
        <v>491</v>
      </c>
      <c r="T155" s="74">
        <v>491</v>
      </c>
    </row>
    <row r="156" spans="15:20" x14ac:dyDescent="0.25">
      <c r="O156" s="411"/>
      <c r="P156" s="40" t="s">
        <v>386</v>
      </c>
      <c r="Q156" s="40" t="s">
        <v>57</v>
      </c>
      <c r="R156" s="74"/>
      <c r="S156" s="74">
        <v>654</v>
      </c>
      <c r="T156" s="74">
        <v>654</v>
      </c>
    </row>
    <row r="157" spans="15:20" x14ac:dyDescent="0.25">
      <c r="O157" s="411"/>
      <c r="P157" s="40" t="s">
        <v>387</v>
      </c>
      <c r="Q157" s="40" t="s">
        <v>57</v>
      </c>
      <c r="R157" s="74"/>
      <c r="S157" s="74">
        <v>812</v>
      </c>
      <c r="T157" s="74">
        <v>812</v>
      </c>
    </row>
    <row r="158" spans="15:20" x14ac:dyDescent="0.25">
      <c r="O158" s="411"/>
      <c r="P158" s="40" t="s">
        <v>388</v>
      </c>
      <c r="Q158" s="40" t="s">
        <v>57</v>
      </c>
      <c r="R158" s="74"/>
      <c r="S158" s="74">
        <v>301</v>
      </c>
      <c r="T158" s="74">
        <v>301</v>
      </c>
    </row>
    <row r="159" spans="15:20" x14ac:dyDescent="0.25">
      <c r="O159" s="411"/>
      <c r="P159" s="40" t="s">
        <v>389</v>
      </c>
      <c r="Q159" s="40" t="s">
        <v>57</v>
      </c>
      <c r="R159" s="74"/>
      <c r="S159" s="74">
        <v>530</v>
      </c>
      <c r="T159" s="74">
        <v>530</v>
      </c>
    </row>
    <row r="160" spans="15:20" x14ac:dyDescent="0.25">
      <c r="O160" s="411"/>
      <c r="P160" s="40" t="s">
        <v>390</v>
      </c>
      <c r="Q160" s="40" t="s">
        <v>57</v>
      </c>
      <c r="R160" s="74"/>
      <c r="S160" s="74">
        <v>889</v>
      </c>
      <c r="T160" s="74">
        <v>889</v>
      </c>
    </row>
    <row r="161" spans="15:20" x14ac:dyDescent="0.25">
      <c r="O161" s="411"/>
      <c r="P161" s="40" t="s">
        <v>391</v>
      </c>
      <c r="Q161" s="40" t="s">
        <v>57</v>
      </c>
      <c r="R161" s="74"/>
      <c r="S161" s="74">
        <v>413</v>
      </c>
      <c r="T161" s="74">
        <v>413</v>
      </c>
    </row>
    <row r="162" spans="15:20" x14ac:dyDescent="0.25">
      <c r="O162" s="411"/>
      <c r="P162" s="40" t="s">
        <v>392</v>
      </c>
      <c r="Q162" s="40" t="s">
        <v>57</v>
      </c>
      <c r="R162" s="74"/>
      <c r="S162" s="74">
        <v>421</v>
      </c>
      <c r="T162" s="74">
        <v>421</v>
      </c>
    </row>
    <row r="163" spans="15:20" x14ac:dyDescent="0.25">
      <c r="O163" s="411"/>
      <c r="P163" s="40" t="s">
        <v>393</v>
      </c>
      <c r="Q163" s="40" t="s">
        <v>57</v>
      </c>
      <c r="R163" s="74"/>
      <c r="S163" s="74">
        <v>57</v>
      </c>
      <c r="T163" s="74">
        <v>57</v>
      </c>
    </row>
    <row r="164" spans="15:20" x14ac:dyDescent="0.25">
      <c r="O164" s="411"/>
      <c r="P164" s="40" t="s">
        <v>394</v>
      </c>
      <c r="Q164" s="40" t="s">
        <v>57</v>
      </c>
      <c r="R164" s="74"/>
      <c r="S164" s="74">
        <v>2820</v>
      </c>
      <c r="T164" s="74">
        <v>2820</v>
      </c>
    </row>
    <row r="165" spans="15:20" x14ac:dyDescent="0.25">
      <c r="O165" s="411"/>
      <c r="P165" s="40" t="s">
        <v>395</v>
      </c>
      <c r="Q165" s="40" t="s">
        <v>57</v>
      </c>
      <c r="R165" s="74"/>
      <c r="S165" s="74">
        <v>5350</v>
      </c>
      <c r="T165" s="74">
        <v>5350</v>
      </c>
    </row>
    <row r="166" spans="15:20" x14ac:dyDescent="0.25">
      <c r="O166" s="411"/>
      <c r="P166" s="40" t="s">
        <v>396</v>
      </c>
      <c r="Q166" s="40" t="s">
        <v>57</v>
      </c>
      <c r="R166" s="74"/>
      <c r="S166" s="74">
        <v>2910</v>
      </c>
      <c r="T166" s="74">
        <v>2910</v>
      </c>
    </row>
    <row r="167" spans="15:20" x14ac:dyDescent="0.25">
      <c r="O167" s="45"/>
      <c r="P167" s="45"/>
      <c r="Q167" s="45"/>
      <c r="R167" s="45"/>
      <c r="S167" s="45"/>
      <c r="T167" s="45"/>
    </row>
    <row r="168" spans="15:20" x14ac:dyDescent="0.25">
      <c r="O168" s="45"/>
      <c r="P168" s="45"/>
      <c r="Q168" s="45"/>
      <c r="R168" s="45"/>
      <c r="S168" s="45"/>
      <c r="T168" s="45"/>
    </row>
    <row r="169" spans="15:20" ht="30" x14ac:dyDescent="0.25">
      <c r="O169" s="76"/>
      <c r="P169" s="76"/>
      <c r="Q169" s="76"/>
      <c r="R169" s="77" t="s">
        <v>237</v>
      </c>
      <c r="S169" s="77" t="s">
        <v>238</v>
      </c>
      <c r="T169" s="77" t="s">
        <v>239</v>
      </c>
    </row>
    <row r="170" spans="15:20" ht="18" x14ac:dyDescent="0.35">
      <c r="O170" s="39" t="s">
        <v>123</v>
      </c>
      <c r="P170" s="39" t="s">
        <v>240</v>
      </c>
      <c r="Q170" s="39" t="s">
        <v>124</v>
      </c>
      <c r="R170" s="40" t="s">
        <v>125</v>
      </c>
      <c r="S170" s="40" t="s">
        <v>125</v>
      </c>
      <c r="T170" s="40" t="s">
        <v>125</v>
      </c>
    </row>
    <row r="171" spans="15:20" x14ac:dyDescent="0.25">
      <c r="O171" s="411" t="s">
        <v>397</v>
      </c>
      <c r="P171" s="40" t="s">
        <v>398</v>
      </c>
      <c r="Q171" s="40" t="s">
        <v>57</v>
      </c>
      <c r="R171" s="74"/>
      <c r="S171" s="74">
        <v>17400</v>
      </c>
      <c r="T171" s="74">
        <v>17400</v>
      </c>
    </row>
    <row r="172" spans="15:20" x14ac:dyDescent="0.25">
      <c r="O172" s="411"/>
      <c r="P172" s="40" t="s">
        <v>399</v>
      </c>
      <c r="Q172" s="40" t="s">
        <v>57</v>
      </c>
      <c r="R172" s="74"/>
      <c r="S172" s="74">
        <v>9710</v>
      </c>
      <c r="T172" s="74">
        <v>9710</v>
      </c>
    </row>
    <row r="173" spans="15:20" x14ac:dyDescent="0.25">
      <c r="O173" s="411"/>
      <c r="P173" s="40" t="s">
        <v>400</v>
      </c>
      <c r="Q173" s="40" t="s">
        <v>57</v>
      </c>
      <c r="R173" s="74"/>
      <c r="S173" s="74">
        <v>1</v>
      </c>
      <c r="T173" s="74">
        <v>1</v>
      </c>
    </row>
    <row r="174" spans="15:20" x14ac:dyDescent="0.25">
      <c r="O174" s="411"/>
      <c r="P174" s="40" t="s">
        <v>401</v>
      </c>
      <c r="Q174" s="40" t="s">
        <v>57</v>
      </c>
      <c r="R174" s="74"/>
      <c r="S174" s="74">
        <v>9</v>
      </c>
      <c r="T174" s="74">
        <v>9</v>
      </c>
    </row>
    <row r="175" spans="15:20" x14ac:dyDescent="0.25">
      <c r="O175" s="411"/>
      <c r="P175" s="40" t="s">
        <v>402</v>
      </c>
      <c r="Q175" s="40" t="s">
        <v>57</v>
      </c>
      <c r="R175" s="74"/>
      <c r="S175" s="74">
        <v>12</v>
      </c>
      <c r="T175" s="74">
        <v>12</v>
      </c>
    </row>
    <row r="176" spans="15:20" x14ac:dyDescent="0.25">
      <c r="O176" s="411"/>
      <c r="P176" s="40" t="s">
        <v>403</v>
      </c>
      <c r="Q176" s="40" t="s">
        <v>57</v>
      </c>
      <c r="R176" s="74"/>
      <c r="S176" s="74">
        <v>0.06</v>
      </c>
      <c r="T176" s="74">
        <v>0.06</v>
      </c>
    </row>
    <row r="177" spans="15:20" x14ac:dyDescent="0.25">
      <c r="O177" s="411"/>
      <c r="P177" s="40" t="s">
        <v>404</v>
      </c>
      <c r="Q177" s="40" t="s">
        <v>57</v>
      </c>
      <c r="R177" s="74"/>
      <c r="S177" s="74">
        <v>3</v>
      </c>
      <c r="T177" s="74">
        <v>3</v>
      </c>
    </row>
    <row r="178" spans="15:20" x14ac:dyDescent="0.25">
      <c r="O178" s="411"/>
      <c r="P178" s="40" t="s">
        <v>405</v>
      </c>
      <c r="Q178" s="40" t="s">
        <v>57</v>
      </c>
      <c r="R178" s="74"/>
      <c r="S178" s="74">
        <v>6.0000000000000001E-3</v>
      </c>
      <c r="T178" s="74">
        <v>6.0000000000000001E-3</v>
      </c>
    </row>
    <row r="179" spans="15:20" x14ac:dyDescent="0.25">
      <c r="O179" s="411"/>
      <c r="P179" s="40" t="s">
        <v>406</v>
      </c>
      <c r="Q179" s="40" t="s">
        <v>57</v>
      </c>
      <c r="R179" s="74"/>
      <c r="S179" s="74">
        <v>5</v>
      </c>
      <c r="T179" s="74">
        <v>5</v>
      </c>
    </row>
    <row r="180" spans="15:20" x14ac:dyDescent="0.25">
      <c r="O180" s="411"/>
      <c r="P180" s="40" t="s">
        <v>407</v>
      </c>
      <c r="Q180" s="40" t="s">
        <v>57</v>
      </c>
      <c r="R180" s="74"/>
      <c r="S180" s="74">
        <v>5</v>
      </c>
      <c r="T180" s="74">
        <v>5</v>
      </c>
    </row>
    <row r="181" spans="15:20" x14ac:dyDescent="0.25">
      <c r="O181" s="411"/>
      <c r="P181" s="40" t="s">
        <v>408</v>
      </c>
      <c r="Q181" s="40" t="s">
        <v>57</v>
      </c>
      <c r="R181" s="74"/>
      <c r="S181" s="74">
        <v>0.437</v>
      </c>
      <c r="T181" s="74">
        <v>0.437</v>
      </c>
    </row>
    <row r="182" spans="15:20" x14ac:dyDescent="0.25">
      <c r="O182" s="411"/>
      <c r="P182" s="40" t="s">
        <v>409</v>
      </c>
      <c r="Q182" s="40" t="s">
        <v>57</v>
      </c>
      <c r="R182" s="74"/>
      <c r="S182" s="74">
        <v>2</v>
      </c>
      <c r="T182" s="74">
        <v>2</v>
      </c>
    </row>
    <row r="183" spans="15:20" x14ac:dyDescent="0.25">
      <c r="O183" s="411"/>
      <c r="P183" s="40" t="s">
        <v>410</v>
      </c>
      <c r="Q183" s="40" t="s">
        <v>57</v>
      </c>
      <c r="R183" s="74"/>
      <c r="S183" s="74">
        <v>1</v>
      </c>
      <c r="T183" s="74">
        <v>1</v>
      </c>
    </row>
    <row r="184" spans="15:20" x14ac:dyDescent="0.25">
      <c r="O184" s="411"/>
      <c r="P184" s="40" t="s">
        <v>411</v>
      </c>
      <c r="Q184" s="40" t="s">
        <v>57</v>
      </c>
      <c r="R184" s="74"/>
      <c r="S184" s="74">
        <v>1</v>
      </c>
      <c r="T184" s="74">
        <v>1</v>
      </c>
    </row>
  </sheetData>
  <mergeCells count="5">
    <mergeCell ref="O3:O35"/>
    <mergeCell ref="O40:O123"/>
    <mergeCell ref="O128:O147"/>
    <mergeCell ref="O152:O166"/>
    <mergeCell ref="O171:O184"/>
  </mergeCells>
  <conditionalFormatting sqref="R171:T184">
    <cfRule type="expression" dxfId="11" priority="1" stopIfTrue="1">
      <formula>R171=""</formula>
    </cfRule>
  </conditionalFormatting>
  <conditionalFormatting sqref="R3:T35 R40:T123">
    <cfRule type="expression" dxfId="10" priority="4" stopIfTrue="1">
      <formula>R3=""</formula>
    </cfRule>
  </conditionalFormatting>
  <conditionalFormatting sqref="R128:T147">
    <cfRule type="expression" dxfId="9" priority="3" stopIfTrue="1">
      <formula>R128=""</formula>
    </cfRule>
  </conditionalFormatting>
  <conditionalFormatting sqref="R152:T166">
    <cfRule type="expression" dxfId="8" priority="2" stopIfTrue="1">
      <formula>R152=""</formula>
    </cfRule>
  </conditionalFormatting>
  <pageMargins left="0.7" right="0.7" top="0.75" bottom="0.75" header="0.3" footer="0.3"/>
  <pageSetup paperSize="9" orientation="portrait" r:id="rId1"/>
  <customProperties>
    <customPr name="GUID" r:id="rId2"/>
  </customProperties>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6"/>
  <dimension ref="A1:T64"/>
  <sheetViews>
    <sheetView tabSelected="1" topLeftCell="I21" zoomScale="70" zoomScaleNormal="70" workbookViewId="0">
      <selection activeCell="AB29" sqref="AB29"/>
    </sheetView>
  </sheetViews>
  <sheetFormatPr defaultRowHeight="15" x14ac:dyDescent="0.25"/>
  <cols>
    <col min="1" max="7" width="33.5703125" customWidth="1"/>
    <col min="8" max="8" width="18.5703125" customWidth="1"/>
    <col min="9" max="9" width="17.140625" customWidth="1"/>
    <col min="10" max="10" width="21.7109375" customWidth="1"/>
    <col min="11" max="11" width="21.42578125" customWidth="1"/>
    <col min="12" max="14" width="11.42578125" customWidth="1"/>
    <col min="15" max="20" width="15.7109375" customWidth="1"/>
  </cols>
  <sheetData>
    <row r="1" spans="1:20" ht="30.75" thickBot="1" x14ac:dyDescent="0.3">
      <c r="A1" s="80" t="s">
        <v>419</v>
      </c>
      <c r="B1" s="80" t="s">
        <v>415</v>
      </c>
      <c r="C1" s="80" t="s">
        <v>417</v>
      </c>
      <c r="D1" s="80" t="s">
        <v>416</v>
      </c>
      <c r="E1" s="80" t="s">
        <v>421</v>
      </c>
      <c r="F1" s="83" t="s">
        <v>679</v>
      </c>
      <c r="G1" s="83" t="s">
        <v>680</v>
      </c>
      <c r="H1" s="83" t="s">
        <v>431</v>
      </c>
      <c r="I1" s="83" t="s">
        <v>432</v>
      </c>
      <c r="J1" s="83" t="s">
        <v>433</v>
      </c>
      <c r="K1" s="83" t="s">
        <v>434</v>
      </c>
      <c r="L1" s="83" t="s">
        <v>432</v>
      </c>
      <c r="M1" s="83" t="s">
        <v>430</v>
      </c>
      <c r="N1" s="83" t="s">
        <v>435</v>
      </c>
      <c r="O1" s="73" t="s">
        <v>64</v>
      </c>
      <c r="P1" s="73" t="s">
        <v>63</v>
      </c>
      <c r="Q1" s="73" t="s">
        <v>61</v>
      </c>
      <c r="R1" s="73" t="s">
        <v>65</v>
      </c>
      <c r="S1" s="73" t="s">
        <v>62</v>
      </c>
      <c r="T1" s="73" t="s">
        <v>65</v>
      </c>
    </row>
    <row r="2" spans="1:20" x14ac:dyDescent="0.25">
      <c r="A2" s="80" t="s">
        <v>420</v>
      </c>
      <c r="B2" s="80" t="s">
        <v>448</v>
      </c>
      <c r="C2" s="82" t="s">
        <v>208</v>
      </c>
      <c r="D2" s="82">
        <v>2022</v>
      </c>
      <c r="E2" s="82">
        <v>173</v>
      </c>
      <c r="F2" s="82" t="s">
        <v>678</v>
      </c>
      <c r="G2" s="82" t="s">
        <v>184</v>
      </c>
      <c r="H2" s="84" t="s">
        <v>20</v>
      </c>
      <c r="I2" s="85"/>
      <c r="J2" s="85"/>
      <c r="K2" s="85"/>
      <c r="L2" s="85"/>
      <c r="M2" s="85"/>
      <c r="N2" s="85"/>
      <c r="O2" s="86">
        <f>L2*'PAG100 FE GE'!$E$2+M2*'PAG100 FE GE'!$E$3+N2*'PAG100 FE GE'!$E$4</f>
        <v>0</v>
      </c>
      <c r="P2" s="86">
        <f>L2*'PAG20 FE GE'!$E$2+M2*'PAG20 FE GE'!$E$3+N2*'PAG20 FE GE'!$E$4</f>
        <v>0</v>
      </c>
      <c r="Q2" s="86">
        <f>L2*'PAG100 FE GE'!$D$2+M2*'PAG100 FE GE'!$D$3+N2*'PAG100 FE GE'!$D$4</f>
        <v>0</v>
      </c>
      <c r="R2" s="86">
        <f>L2*'PAG20 FE GE'!$D$2+M2*'PAG20 FE GE'!$D$3+N2*'PAG20 FE GE'!$D$4</f>
        <v>0</v>
      </c>
      <c r="S2" s="86">
        <f>L2*'PAG100 FE GE'!$C$2+M2*'PAG100 FE GE'!$C$3+N2*'PAG100 FE GE'!$C$4</f>
        <v>0</v>
      </c>
      <c r="T2" s="86">
        <f>L2*'PAG20 FE GE'!$C$2+M2*'PAG20 FE GE'!$C$3+N2*'PAG20 FE GE'!$C$4</f>
        <v>0</v>
      </c>
    </row>
    <row r="3" spans="1:20" x14ac:dyDescent="0.25">
      <c r="A3" s="80" t="s">
        <v>420</v>
      </c>
      <c r="B3" s="80" t="s">
        <v>448</v>
      </c>
      <c r="C3" s="82" t="s">
        <v>208</v>
      </c>
      <c r="D3" s="82">
        <v>2021</v>
      </c>
      <c r="E3" s="82">
        <v>170</v>
      </c>
      <c r="F3" s="82" t="s">
        <v>678</v>
      </c>
      <c r="G3" s="82" t="s">
        <v>184</v>
      </c>
      <c r="H3" s="84" t="s">
        <v>20</v>
      </c>
      <c r="I3" s="85"/>
      <c r="J3" s="85"/>
      <c r="K3" s="85"/>
      <c r="L3" s="85"/>
      <c r="M3" s="85"/>
      <c r="N3" s="85"/>
      <c r="O3" s="86">
        <f>L3*'PAG100 FE GE'!$E$2+M3*'PAG100 FE GE'!$E$3+N3*'PAG100 FE GE'!$E$4</f>
        <v>0</v>
      </c>
      <c r="P3" s="86">
        <f>L3*'PAG20 FE GE'!$E$2+M3*'PAG20 FE GE'!$E$3+N3*'PAG20 FE GE'!$E$4</f>
        <v>0</v>
      </c>
      <c r="Q3" s="86">
        <f>L3*'PAG100 FE GE'!$D$2+M3*'PAG100 FE GE'!$D$3+N3*'PAG100 FE GE'!$D$4</f>
        <v>0</v>
      </c>
      <c r="R3" s="86">
        <f>L3*'PAG20 FE GE'!$D$2+M3*'PAG20 FE GE'!$D$3+N3*'PAG20 FE GE'!$D$4</f>
        <v>0</v>
      </c>
      <c r="S3" s="86">
        <f>L3*'PAG100 FE GE'!$C$2+M3*'PAG100 FE GE'!$C$3+N3*'PAG100 FE GE'!$C$4</f>
        <v>0</v>
      </c>
      <c r="T3" s="86">
        <f>L3*'PAG20 FE GE'!$C$2+M3*'PAG20 FE GE'!$C$3+N3*'PAG20 FE GE'!$C$4</f>
        <v>0</v>
      </c>
    </row>
    <row r="4" spans="1:20" x14ac:dyDescent="0.25">
      <c r="A4" s="80" t="s">
        <v>420</v>
      </c>
      <c r="B4" s="80" t="s">
        <v>448</v>
      </c>
      <c r="C4" s="82" t="s">
        <v>208</v>
      </c>
      <c r="D4" s="82">
        <v>2020</v>
      </c>
      <c r="E4" s="82">
        <v>203</v>
      </c>
      <c r="F4" s="82" t="s">
        <v>678</v>
      </c>
      <c r="G4" s="82" t="s">
        <v>184</v>
      </c>
      <c r="H4" s="84" t="s">
        <v>20</v>
      </c>
      <c r="I4" s="85"/>
      <c r="J4" s="85"/>
      <c r="K4" s="85"/>
      <c r="L4" s="85"/>
      <c r="M4" s="85"/>
      <c r="N4" s="85"/>
      <c r="O4" s="86">
        <f>L4*'PAG100 FE GE'!$E$2+M4*'PAG100 FE GE'!$E$3+N4*'PAG100 FE GE'!$E$4</f>
        <v>0</v>
      </c>
      <c r="P4" s="86">
        <f>L4*'PAG20 FE GE'!$E$2+M4*'PAG20 FE GE'!$E$3+N4*'PAG20 FE GE'!$E$4</f>
        <v>0</v>
      </c>
      <c r="Q4" s="86">
        <f>L4*'PAG100 FE GE'!$D$2+M4*'PAG100 FE GE'!$D$3+N4*'PAG100 FE GE'!$D$4</f>
        <v>0</v>
      </c>
      <c r="R4" s="86">
        <f>L4*'PAG20 FE GE'!$D$2+M4*'PAG20 FE GE'!$D$3+N4*'PAG20 FE GE'!$D$4</f>
        <v>0</v>
      </c>
      <c r="S4" s="86">
        <f>L4*'PAG100 FE GE'!$C$2+M4*'PAG100 FE GE'!$C$3+N4*'PAG100 FE GE'!$C$4</f>
        <v>0</v>
      </c>
      <c r="T4" s="86">
        <f>L4*'PAG20 FE GE'!$C$2+M4*'PAG20 FE GE'!$C$3+N4*'PAG20 FE GE'!$C$4</f>
        <v>0</v>
      </c>
    </row>
    <row r="5" spans="1:20" x14ac:dyDescent="0.25">
      <c r="A5" s="80" t="s">
        <v>420</v>
      </c>
      <c r="B5" s="80" t="s">
        <v>448</v>
      </c>
      <c r="C5" s="82" t="s">
        <v>208</v>
      </c>
      <c r="D5" s="82">
        <v>2019</v>
      </c>
      <c r="E5" s="82">
        <v>254</v>
      </c>
      <c r="F5" s="82" t="s">
        <v>678</v>
      </c>
      <c r="G5" s="82" t="s">
        <v>184</v>
      </c>
      <c r="H5" s="84" t="s">
        <v>20</v>
      </c>
      <c r="I5" s="85"/>
      <c r="J5" s="85"/>
      <c r="K5" s="85"/>
      <c r="L5" s="85"/>
      <c r="M5" s="85"/>
      <c r="N5" s="85"/>
      <c r="O5" s="86">
        <f>L5*'PAG100 FE GE'!$E$2+M5*'PAG100 FE GE'!$E$3+N5*'PAG100 FE GE'!$E$4</f>
        <v>0</v>
      </c>
      <c r="P5" s="86">
        <f>L5*'PAG20 FE GE'!$E$2+M5*'PAG20 FE GE'!$E$3+N5*'PAG20 FE GE'!$E$4</f>
        <v>0</v>
      </c>
      <c r="Q5" s="86">
        <f>L5*'PAG100 FE GE'!$D$2+M5*'PAG100 FE GE'!$D$3+N5*'PAG100 FE GE'!$D$4</f>
        <v>0</v>
      </c>
      <c r="R5" s="86">
        <f>L5*'PAG20 FE GE'!$D$2+M5*'PAG20 FE GE'!$D$3+N5*'PAG20 FE GE'!$D$4</f>
        <v>0</v>
      </c>
      <c r="S5" s="86">
        <f>L5*'PAG100 FE GE'!$C$2+M5*'PAG100 FE GE'!$C$3+N5*'PAG100 FE GE'!$C$4</f>
        <v>0</v>
      </c>
      <c r="T5" s="86">
        <f>L5*'PAG20 FE GE'!$C$2+M5*'PAG20 FE GE'!$C$3+N5*'PAG20 FE GE'!$C$4</f>
        <v>0</v>
      </c>
    </row>
    <row r="6" spans="1:20" x14ac:dyDescent="0.25">
      <c r="A6" s="80" t="s">
        <v>420</v>
      </c>
      <c r="B6" s="80" t="s">
        <v>448</v>
      </c>
      <c r="C6" s="82" t="s">
        <v>208</v>
      </c>
      <c r="D6" s="82">
        <v>2018</v>
      </c>
      <c r="E6" s="82">
        <v>309</v>
      </c>
      <c r="F6" s="82" t="s">
        <v>678</v>
      </c>
      <c r="G6" s="82" t="s">
        <v>184</v>
      </c>
      <c r="H6" s="84" t="s">
        <v>20</v>
      </c>
      <c r="I6" s="85"/>
      <c r="J6" s="85"/>
      <c r="K6" s="85"/>
      <c r="L6" s="85"/>
      <c r="M6" s="85"/>
      <c r="N6" s="85"/>
      <c r="O6" s="86">
        <f>L6*'PAG100 FE GE'!$E$2+M6*'PAG100 FE GE'!$E$3+N6*'PAG100 FE GE'!$E$4</f>
        <v>0</v>
      </c>
      <c r="P6" s="86">
        <f>L6*'PAG20 FE GE'!$E$2+M6*'PAG20 FE GE'!$E$3+N6*'PAG20 FE GE'!$E$4</f>
        <v>0</v>
      </c>
      <c r="Q6" s="86">
        <f>L6*'PAG100 FE GE'!$D$2+M6*'PAG100 FE GE'!$D$3+N6*'PAG100 FE GE'!$D$4</f>
        <v>0</v>
      </c>
      <c r="R6" s="86">
        <f>L6*'PAG20 FE GE'!$D$2+M6*'PAG20 FE GE'!$D$3+N6*'PAG20 FE GE'!$D$4</f>
        <v>0</v>
      </c>
      <c r="S6" s="86">
        <f>L6*'PAG100 FE GE'!$C$2+M6*'PAG100 FE GE'!$C$3+N6*'PAG100 FE GE'!$C$4</f>
        <v>0</v>
      </c>
      <c r="T6" s="86">
        <f>L6*'PAG20 FE GE'!$C$2+M6*'PAG20 FE GE'!$C$3+N6*'PAG20 FE GE'!$C$4</f>
        <v>0</v>
      </c>
    </row>
    <row r="7" spans="1:20" x14ac:dyDescent="0.25">
      <c r="A7" s="80" t="s">
        <v>420</v>
      </c>
      <c r="B7" s="80" t="s">
        <v>448</v>
      </c>
      <c r="C7" s="82" t="s">
        <v>208</v>
      </c>
      <c r="D7" s="82">
        <v>2017</v>
      </c>
      <c r="E7" s="82">
        <v>362</v>
      </c>
      <c r="F7" s="82" t="s">
        <v>678</v>
      </c>
      <c r="G7" s="82" t="s">
        <v>184</v>
      </c>
      <c r="H7" s="84" t="s">
        <v>20</v>
      </c>
      <c r="I7" s="85"/>
      <c r="J7" s="85"/>
      <c r="K7" s="85"/>
      <c r="L7" s="85"/>
      <c r="M7" s="85"/>
      <c r="N7" s="85"/>
      <c r="O7" s="86">
        <f>L7*'PAG100 FE GE'!$E$2+M7*'PAG100 FE GE'!$E$3+N7*'PAG100 FE GE'!$E$4</f>
        <v>0</v>
      </c>
      <c r="P7" s="86">
        <f>L7*'PAG20 FE GE'!$E$2+M7*'PAG20 FE GE'!$E$3+N7*'PAG20 FE GE'!$E$4</f>
        <v>0</v>
      </c>
      <c r="Q7" s="86">
        <f>L7*'PAG100 FE GE'!$D$2+M7*'PAG100 FE GE'!$D$3+N7*'PAG100 FE GE'!$D$4</f>
        <v>0</v>
      </c>
      <c r="R7" s="86">
        <f>L7*'PAG20 FE GE'!$D$2+M7*'PAG20 FE GE'!$D$3+N7*'PAG20 FE GE'!$D$4</f>
        <v>0</v>
      </c>
      <c r="S7" s="86">
        <f>L7*'PAG100 FE GE'!$C$2+M7*'PAG100 FE GE'!$C$3+N7*'PAG100 FE GE'!$C$4</f>
        <v>0</v>
      </c>
      <c r="T7" s="86">
        <f>L7*'PAG20 FE GE'!$C$2+M7*'PAG20 FE GE'!$C$3+N7*'PAG20 FE GE'!$C$4</f>
        <v>0</v>
      </c>
    </row>
    <row r="8" spans="1:20" x14ac:dyDescent="0.25">
      <c r="A8" s="80" t="s">
        <v>420</v>
      </c>
      <c r="B8" s="80" t="s">
        <v>448</v>
      </c>
      <c r="C8" s="82" t="s">
        <v>208</v>
      </c>
      <c r="D8" s="82">
        <v>2016</v>
      </c>
      <c r="E8" s="82">
        <v>295</v>
      </c>
      <c r="F8" s="82" t="s">
        <v>678</v>
      </c>
      <c r="G8" s="82" t="s">
        <v>184</v>
      </c>
      <c r="H8" s="84" t="s">
        <v>20</v>
      </c>
      <c r="I8" s="85"/>
      <c r="J8" s="85"/>
      <c r="K8" s="85"/>
      <c r="L8" s="85"/>
      <c r="M8" s="85"/>
      <c r="N8" s="85"/>
      <c r="O8" s="86">
        <f>L8*'PAG100 FE GE'!$E$2+M8*'PAG100 FE GE'!$E$3+N8*'PAG100 FE GE'!$E$4</f>
        <v>0</v>
      </c>
      <c r="P8" s="86">
        <f>L8*'PAG20 FE GE'!$E$2+M8*'PAG20 FE GE'!$E$3+N8*'PAG20 FE GE'!$E$4</f>
        <v>0</v>
      </c>
      <c r="Q8" s="86">
        <f>L8*'PAG100 FE GE'!$D$2+M8*'PAG100 FE GE'!$D$3+N8*'PAG100 FE GE'!$D$4</f>
        <v>0</v>
      </c>
      <c r="R8" s="86">
        <f>L8*'PAG20 FE GE'!$D$2+M8*'PAG20 FE GE'!$D$3+N8*'PAG20 FE GE'!$D$4</f>
        <v>0</v>
      </c>
      <c r="S8" s="86">
        <f>L8*'PAG100 FE GE'!$C$2+M8*'PAG100 FE GE'!$C$3+N8*'PAG100 FE GE'!$C$4</f>
        <v>0</v>
      </c>
      <c r="T8" s="86">
        <f>L8*'PAG20 FE GE'!$C$2+M8*'PAG20 FE GE'!$C$3+N8*'PAG20 FE GE'!$C$4</f>
        <v>0</v>
      </c>
    </row>
    <row r="9" spans="1:20" x14ac:dyDescent="0.25">
      <c r="A9" s="80" t="s">
        <v>420</v>
      </c>
      <c r="B9" s="80" t="s">
        <v>448</v>
      </c>
      <c r="C9" s="82" t="s">
        <v>208</v>
      </c>
      <c r="D9" s="82">
        <v>2015</v>
      </c>
      <c r="E9" s="82">
        <v>364</v>
      </c>
      <c r="F9" s="82" t="s">
        <v>678</v>
      </c>
      <c r="G9" s="82" t="s">
        <v>184</v>
      </c>
      <c r="H9" s="84" t="s">
        <v>20</v>
      </c>
      <c r="I9" s="85"/>
      <c r="J9" s="85"/>
      <c r="K9" s="85"/>
      <c r="L9" s="85"/>
      <c r="M9" s="85"/>
      <c r="N9" s="85"/>
      <c r="O9" s="86">
        <f>L9*'PAG100 FE GE'!$E$2+M9*'PAG100 FE GE'!$E$3+N9*'PAG100 FE GE'!$E$4</f>
        <v>0</v>
      </c>
      <c r="P9" s="86">
        <f>L9*'PAG20 FE GE'!$E$2+M9*'PAG20 FE GE'!$E$3+N9*'PAG20 FE GE'!$E$4</f>
        <v>0</v>
      </c>
      <c r="Q9" s="86">
        <f>L9*'PAG100 FE GE'!$D$2+M9*'PAG100 FE GE'!$D$3+N9*'PAG100 FE GE'!$D$4</f>
        <v>0</v>
      </c>
      <c r="R9" s="86">
        <f>L9*'PAG20 FE GE'!$D$2+M9*'PAG20 FE GE'!$D$3+N9*'PAG20 FE GE'!$D$4</f>
        <v>0</v>
      </c>
      <c r="S9" s="86">
        <f>L9*'PAG100 FE GE'!$C$2+M9*'PAG100 FE GE'!$C$3+N9*'PAG100 FE GE'!$C$4</f>
        <v>0</v>
      </c>
      <c r="T9" s="86">
        <f>L9*'PAG20 FE GE'!$C$2+M9*'PAG20 FE GE'!$C$3+N9*'PAG20 FE GE'!$C$4</f>
        <v>0</v>
      </c>
    </row>
    <row r="10" spans="1:20" x14ac:dyDescent="0.25">
      <c r="A10" s="80" t="s">
        <v>420</v>
      </c>
      <c r="B10" s="80" t="s">
        <v>448</v>
      </c>
      <c r="C10" s="82" t="s">
        <v>208</v>
      </c>
      <c r="D10" s="82">
        <v>2014</v>
      </c>
      <c r="E10" s="82">
        <v>299</v>
      </c>
      <c r="F10" s="82" t="s">
        <v>678</v>
      </c>
      <c r="G10" s="82" t="s">
        <v>184</v>
      </c>
      <c r="H10" s="84" t="s">
        <v>20</v>
      </c>
      <c r="I10" s="85"/>
      <c r="J10" s="85"/>
      <c r="K10" s="85"/>
      <c r="L10" s="85"/>
      <c r="M10" s="85"/>
      <c r="N10" s="85"/>
      <c r="O10" s="86">
        <f>L10*'PAG100 FE GE'!$E$2+M10*'PAG100 FE GE'!$E$3+N10*'PAG100 FE GE'!$E$4</f>
        <v>0</v>
      </c>
      <c r="P10" s="86">
        <f>L10*'PAG20 FE GE'!$E$2+M10*'PAG20 FE GE'!$E$3+N10*'PAG20 FE GE'!$E$4</f>
        <v>0</v>
      </c>
      <c r="Q10" s="86">
        <f>L10*'PAG100 FE GE'!$D$2+M10*'PAG100 FE GE'!$D$3+N10*'PAG100 FE GE'!$D$4</f>
        <v>0</v>
      </c>
      <c r="R10" s="86">
        <f>L10*'PAG20 FE GE'!$D$2+M10*'PAG20 FE GE'!$D$3+N10*'PAG20 FE GE'!$D$4</f>
        <v>0</v>
      </c>
      <c r="S10" s="86">
        <f>L10*'PAG100 FE GE'!$C$2+M10*'PAG100 FE GE'!$C$3+N10*'PAG100 FE GE'!$C$4</f>
        <v>0</v>
      </c>
      <c r="T10" s="86">
        <f>L10*'PAG20 FE GE'!$C$2+M10*'PAG20 FE GE'!$C$3+N10*'PAG20 FE GE'!$C$4</f>
        <v>0</v>
      </c>
    </row>
    <row r="11" spans="1:20" x14ac:dyDescent="0.25">
      <c r="A11" s="80" t="s">
        <v>420</v>
      </c>
      <c r="B11" s="80" t="s">
        <v>448</v>
      </c>
      <c r="C11" s="82" t="s">
        <v>208</v>
      </c>
      <c r="D11" s="82">
        <v>2013</v>
      </c>
      <c r="E11" s="82">
        <v>318</v>
      </c>
      <c r="F11" s="82" t="s">
        <v>678</v>
      </c>
      <c r="G11" s="82" t="s">
        <v>184</v>
      </c>
      <c r="H11" s="84" t="s">
        <v>20</v>
      </c>
      <c r="I11" s="85"/>
      <c r="J11" s="85"/>
      <c r="K11" s="85"/>
      <c r="L11" s="85"/>
      <c r="M11" s="85"/>
      <c r="N11" s="85"/>
      <c r="O11" s="86">
        <f>L11*'PAG100 FE GE'!$E$2+M11*'PAG100 FE GE'!$E$3+N11*'PAG100 FE GE'!$E$4</f>
        <v>0</v>
      </c>
      <c r="P11" s="86">
        <f>L11*'PAG20 FE GE'!$E$2+M11*'PAG20 FE GE'!$E$3+N11*'PAG20 FE GE'!$E$4</f>
        <v>0</v>
      </c>
      <c r="Q11" s="86">
        <f>L11*'PAG100 FE GE'!$D$2+M11*'PAG100 FE GE'!$D$3+N11*'PAG100 FE GE'!$D$4</f>
        <v>0</v>
      </c>
      <c r="R11" s="86">
        <f>L11*'PAG20 FE GE'!$D$2+M11*'PAG20 FE GE'!$D$3+N11*'PAG20 FE GE'!$D$4</f>
        <v>0</v>
      </c>
      <c r="S11" s="86">
        <f>L11*'PAG100 FE GE'!$C$2+M11*'PAG100 FE GE'!$C$3+N11*'PAG100 FE GE'!$C$4</f>
        <v>0</v>
      </c>
      <c r="T11" s="86">
        <f>L11*'PAG20 FE GE'!$C$2+M11*'PAG20 FE GE'!$C$3+N11*'PAG20 FE GE'!$C$4</f>
        <v>0</v>
      </c>
    </row>
    <row r="12" spans="1:20" x14ac:dyDescent="0.25">
      <c r="A12" s="80" t="s">
        <v>420</v>
      </c>
      <c r="B12" s="80" t="s">
        <v>448</v>
      </c>
      <c r="C12" s="82" t="s">
        <v>208</v>
      </c>
      <c r="D12" s="82">
        <v>2012</v>
      </c>
      <c r="E12" s="82">
        <v>397</v>
      </c>
      <c r="F12" s="82" t="s">
        <v>678</v>
      </c>
      <c r="G12" s="82" t="s">
        <v>184</v>
      </c>
      <c r="H12" s="84" t="s">
        <v>20</v>
      </c>
      <c r="I12" s="85"/>
      <c r="J12" s="85"/>
      <c r="K12" s="85"/>
      <c r="L12" s="85"/>
      <c r="M12" s="85"/>
      <c r="N12" s="85"/>
      <c r="O12" s="86">
        <f>L12*'PAG100 FE GE'!$E$2+M12*'PAG100 FE GE'!$E$3+N12*'PAG100 FE GE'!$E$4</f>
        <v>0</v>
      </c>
      <c r="P12" s="86">
        <f>L12*'PAG20 FE GE'!$E$2+M12*'PAG20 FE GE'!$E$3+N12*'PAG20 FE GE'!$E$4</f>
        <v>0</v>
      </c>
      <c r="Q12" s="86">
        <f>L12*'PAG100 FE GE'!$D$2+M12*'PAG100 FE GE'!$D$3+N12*'PAG100 FE GE'!$D$4</f>
        <v>0</v>
      </c>
      <c r="R12" s="86">
        <f>L12*'PAG20 FE GE'!$D$2+M12*'PAG20 FE GE'!$D$3+N12*'PAG20 FE GE'!$D$4</f>
        <v>0</v>
      </c>
      <c r="S12" s="86">
        <f>L12*'PAG100 FE GE'!$C$2+M12*'PAG100 FE GE'!$C$3+N12*'PAG100 FE GE'!$C$4</f>
        <v>0</v>
      </c>
      <c r="T12" s="86">
        <f>L12*'PAG20 FE GE'!$C$2+M12*'PAG20 FE GE'!$C$3+N12*'PAG20 FE GE'!$C$4</f>
        <v>0</v>
      </c>
    </row>
    <row r="13" spans="1:20" x14ac:dyDescent="0.25">
      <c r="A13" s="80" t="s">
        <v>420</v>
      </c>
      <c r="B13" s="80" t="s">
        <v>448</v>
      </c>
      <c r="C13" s="82" t="s">
        <v>208</v>
      </c>
      <c r="D13" s="82">
        <v>2011</v>
      </c>
      <c r="E13" s="82">
        <v>332</v>
      </c>
      <c r="F13" s="82" t="s">
        <v>678</v>
      </c>
      <c r="G13" s="82" t="s">
        <v>184</v>
      </c>
      <c r="H13" s="84" t="s">
        <v>20</v>
      </c>
      <c r="I13" s="85"/>
      <c r="J13" s="85"/>
      <c r="K13" s="85"/>
      <c r="L13" s="85"/>
      <c r="M13" s="85"/>
      <c r="N13" s="85"/>
      <c r="O13" s="86">
        <f>L13*'PAG100 FE GE'!$E$2+M13*'PAG100 FE GE'!$E$3+N13*'PAG100 FE GE'!$E$4</f>
        <v>0</v>
      </c>
      <c r="P13" s="86">
        <f>L13*'PAG20 FE GE'!$E$2+M13*'PAG20 FE GE'!$E$3+N13*'PAG20 FE GE'!$E$4</f>
        <v>0</v>
      </c>
      <c r="Q13" s="86">
        <f>L13*'PAG100 FE GE'!$D$2+M13*'PAG100 FE GE'!$D$3+N13*'PAG100 FE GE'!$D$4</f>
        <v>0</v>
      </c>
      <c r="R13" s="86">
        <f>L13*'PAG20 FE GE'!$D$2+M13*'PAG20 FE GE'!$D$3+N13*'PAG20 FE GE'!$D$4</f>
        <v>0</v>
      </c>
      <c r="S13" s="86">
        <f>L13*'PAG100 FE GE'!$C$2+M13*'PAG100 FE GE'!$C$3+N13*'PAG100 FE GE'!$C$4</f>
        <v>0</v>
      </c>
      <c r="T13" s="86">
        <f>L13*'PAG20 FE GE'!$C$2+M13*'PAG20 FE GE'!$C$3+N13*'PAG20 FE GE'!$C$4</f>
        <v>0</v>
      </c>
    </row>
    <row r="14" spans="1:20" x14ac:dyDescent="0.25">
      <c r="A14" s="80" t="s">
        <v>420</v>
      </c>
      <c r="B14" s="80" t="s">
        <v>448</v>
      </c>
      <c r="C14" s="82" t="s">
        <v>208</v>
      </c>
      <c r="D14" s="82">
        <v>2010</v>
      </c>
      <c r="E14" s="82">
        <v>280</v>
      </c>
      <c r="F14" s="82" t="s">
        <v>678</v>
      </c>
      <c r="G14" s="82" t="s">
        <v>184</v>
      </c>
      <c r="H14" s="84" t="s">
        <v>20</v>
      </c>
      <c r="I14" s="85"/>
      <c r="J14" s="85"/>
      <c r="K14" s="85"/>
      <c r="L14" s="85"/>
      <c r="M14" s="85"/>
      <c r="N14" s="85"/>
      <c r="O14" s="86">
        <f>L14*'PAG100 FE GE'!$E$2+M14*'PAG100 FE GE'!$E$3+N14*'PAG100 FE GE'!$E$4</f>
        <v>0</v>
      </c>
      <c r="P14" s="86">
        <f>L14*'PAG20 FE GE'!$E$2+M14*'PAG20 FE GE'!$E$3+N14*'PAG20 FE GE'!$E$4</f>
        <v>0</v>
      </c>
      <c r="Q14" s="86">
        <f>L14*'PAG100 FE GE'!$D$2+M14*'PAG100 FE GE'!$D$3+N14*'PAG100 FE GE'!$D$4</f>
        <v>0</v>
      </c>
      <c r="R14" s="86">
        <f>L14*'PAG20 FE GE'!$D$2+M14*'PAG20 FE GE'!$D$3+N14*'PAG20 FE GE'!$D$4</f>
        <v>0</v>
      </c>
      <c r="S14" s="86">
        <f>L14*'PAG100 FE GE'!$C$2+M14*'PAG100 FE GE'!$C$3+N14*'PAG100 FE GE'!$C$4</f>
        <v>0</v>
      </c>
      <c r="T14" s="86">
        <f>L14*'PAG20 FE GE'!$C$2+M14*'PAG20 FE GE'!$C$3+N14*'PAG20 FE GE'!$C$4</f>
        <v>0</v>
      </c>
    </row>
    <row r="15" spans="1:20" x14ac:dyDescent="0.25">
      <c r="A15" s="80" t="s">
        <v>420</v>
      </c>
      <c r="B15" s="80" t="s">
        <v>448</v>
      </c>
      <c r="C15" s="82" t="s">
        <v>208</v>
      </c>
      <c r="D15" s="82">
        <v>2009</v>
      </c>
      <c r="E15" s="82">
        <v>392</v>
      </c>
      <c r="F15" s="82" t="s">
        <v>678</v>
      </c>
      <c r="G15" s="82" t="s">
        <v>184</v>
      </c>
      <c r="H15" s="84" t="s">
        <v>20</v>
      </c>
      <c r="I15" s="85"/>
      <c r="J15" s="85"/>
      <c r="K15" s="85"/>
      <c r="L15" s="85"/>
      <c r="M15" s="85"/>
      <c r="N15" s="85"/>
      <c r="O15" s="86">
        <f>L15*'PAG100 FE GE'!$E$2+M15*'PAG100 FE GE'!$E$3+N15*'PAG100 FE GE'!$E$4</f>
        <v>0</v>
      </c>
      <c r="P15" s="86">
        <f>L15*'PAG20 FE GE'!$E$2+M15*'PAG20 FE GE'!$E$3+N15*'PAG20 FE GE'!$E$4</f>
        <v>0</v>
      </c>
      <c r="Q15" s="86">
        <f>L15*'PAG100 FE GE'!$D$2+M15*'PAG100 FE GE'!$D$3+N15*'PAG100 FE GE'!$D$4</f>
        <v>0</v>
      </c>
      <c r="R15" s="86">
        <f>L15*'PAG20 FE GE'!$D$2+M15*'PAG20 FE GE'!$D$3+N15*'PAG20 FE GE'!$D$4</f>
        <v>0</v>
      </c>
      <c r="S15" s="86">
        <f>L15*'PAG100 FE GE'!$C$2+M15*'PAG100 FE GE'!$C$3+N15*'PAG100 FE GE'!$C$4</f>
        <v>0</v>
      </c>
      <c r="T15" s="86">
        <f>L15*'PAG20 FE GE'!$C$2+M15*'PAG20 FE GE'!$C$3+N15*'PAG20 FE GE'!$C$4</f>
        <v>0</v>
      </c>
    </row>
    <row r="16" spans="1:20" x14ac:dyDescent="0.25">
      <c r="A16" s="80" t="s">
        <v>420</v>
      </c>
      <c r="B16" s="80" t="s">
        <v>448</v>
      </c>
      <c r="C16" s="82" t="s">
        <v>208</v>
      </c>
      <c r="D16" s="82">
        <v>2008</v>
      </c>
      <c r="E16" s="82">
        <v>416</v>
      </c>
      <c r="F16" s="82" t="s">
        <v>678</v>
      </c>
      <c r="G16" s="82" t="s">
        <v>184</v>
      </c>
      <c r="H16" s="84" t="s">
        <v>20</v>
      </c>
      <c r="I16" s="85"/>
      <c r="J16" s="85"/>
      <c r="K16" s="85"/>
      <c r="L16" s="85"/>
      <c r="M16" s="85"/>
      <c r="N16" s="85"/>
      <c r="O16" s="86">
        <f>L16*'PAG100 FE GE'!$E$2+M16*'PAG100 FE GE'!$E$3+N16*'PAG100 FE GE'!$E$4</f>
        <v>0</v>
      </c>
      <c r="P16" s="86">
        <f>L16*'PAG20 FE GE'!$E$2+M16*'PAG20 FE GE'!$E$3+N16*'PAG20 FE GE'!$E$4</f>
        <v>0</v>
      </c>
      <c r="Q16" s="86">
        <f>L16*'PAG100 FE GE'!$D$2+M16*'PAG100 FE GE'!$D$3+N16*'PAG100 FE GE'!$D$4</f>
        <v>0</v>
      </c>
      <c r="R16" s="86">
        <f>L16*'PAG20 FE GE'!$D$2+M16*'PAG20 FE GE'!$D$3+N16*'PAG20 FE GE'!$D$4</f>
        <v>0</v>
      </c>
      <c r="S16" s="86">
        <f>L16*'PAG100 FE GE'!$C$2+M16*'PAG100 FE GE'!$C$3+N16*'PAG100 FE GE'!$C$4</f>
        <v>0</v>
      </c>
      <c r="T16" s="86">
        <f>L16*'PAG20 FE GE'!$C$2+M16*'PAG20 FE GE'!$C$3+N16*'PAG20 FE GE'!$C$4</f>
        <v>0</v>
      </c>
    </row>
    <row r="17" spans="1:20" x14ac:dyDescent="0.25">
      <c r="A17" s="80" t="s">
        <v>420</v>
      </c>
      <c r="B17" s="80" t="s">
        <v>448</v>
      </c>
      <c r="C17" s="82" t="s">
        <v>208</v>
      </c>
      <c r="D17" s="82">
        <v>2007</v>
      </c>
      <c r="E17" s="82">
        <v>421</v>
      </c>
      <c r="F17" s="82" t="s">
        <v>678</v>
      </c>
      <c r="G17" s="82" t="s">
        <v>184</v>
      </c>
      <c r="H17" s="84" t="s">
        <v>20</v>
      </c>
      <c r="I17" s="85"/>
      <c r="J17" s="85"/>
      <c r="K17" s="85"/>
      <c r="L17" s="85"/>
      <c r="M17" s="85"/>
      <c r="N17" s="85"/>
      <c r="O17" s="86">
        <f>L17*'PAG100 FE GE'!$E$2+M17*'PAG100 FE GE'!$E$3+N17*'PAG100 FE GE'!$E$4</f>
        <v>0</v>
      </c>
      <c r="P17" s="86">
        <f>L17*'PAG20 FE GE'!$E$2+M17*'PAG20 FE GE'!$E$3+N17*'PAG20 FE GE'!$E$4</f>
        <v>0</v>
      </c>
      <c r="Q17" s="86">
        <f>L17*'PAG100 FE GE'!$D$2+M17*'PAG100 FE GE'!$D$3+N17*'PAG100 FE GE'!$D$4</f>
        <v>0</v>
      </c>
      <c r="R17" s="86">
        <f>L17*'PAG20 FE GE'!$D$2+M17*'PAG20 FE GE'!$D$3+N17*'PAG20 FE GE'!$D$4</f>
        <v>0</v>
      </c>
      <c r="S17" s="86">
        <f>L17*'PAG100 FE GE'!$C$2+M17*'PAG100 FE GE'!$C$3+N17*'PAG100 FE GE'!$C$4</f>
        <v>0</v>
      </c>
      <c r="T17" s="86">
        <f>L17*'PAG20 FE GE'!$C$2+M17*'PAG20 FE GE'!$C$3+N17*'PAG20 FE GE'!$C$4</f>
        <v>0</v>
      </c>
    </row>
    <row r="18" spans="1:20" x14ac:dyDescent="0.25">
      <c r="A18" s="80" t="s">
        <v>420</v>
      </c>
      <c r="B18" s="80" t="s">
        <v>448</v>
      </c>
      <c r="C18" s="82" t="s">
        <v>208</v>
      </c>
      <c r="D18" s="82">
        <v>2006</v>
      </c>
      <c r="E18" s="82">
        <v>450</v>
      </c>
      <c r="F18" s="82" t="s">
        <v>678</v>
      </c>
      <c r="G18" s="82" t="s">
        <v>184</v>
      </c>
      <c r="H18" s="84" t="s">
        <v>20</v>
      </c>
      <c r="I18" s="85"/>
      <c r="J18" s="85"/>
      <c r="K18" s="85"/>
      <c r="L18" s="85"/>
      <c r="M18" s="85"/>
      <c r="N18" s="85"/>
      <c r="O18" s="86">
        <f>L18*'PAG100 FE GE'!$E$2+M18*'PAG100 FE GE'!$E$3+N18*'PAG100 FE GE'!$E$4</f>
        <v>0</v>
      </c>
      <c r="P18" s="86">
        <f>L18*'PAG20 FE GE'!$E$2+M18*'PAG20 FE GE'!$E$3+N18*'PAG20 FE GE'!$E$4</f>
        <v>0</v>
      </c>
      <c r="Q18" s="86">
        <f>L18*'PAG100 FE GE'!$D$2+M18*'PAG100 FE GE'!$D$3+N18*'PAG100 FE GE'!$D$4</f>
        <v>0</v>
      </c>
      <c r="R18" s="86">
        <f>L18*'PAG20 FE GE'!$D$2+M18*'PAG20 FE GE'!$D$3+N18*'PAG20 FE GE'!$D$4</f>
        <v>0</v>
      </c>
      <c r="S18" s="86">
        <f>L18*'PAG100 FE GE'!$C$2+M18*'PAG100 FE GE'!$C$3+N18*'PAG100 FE GE'!$C$4</f>
        <v>0</v>
      </c>
      <c r="T18" s="86">
        <f>L18*'PAG20 FE GE'!$C$2+M18*'PAG20 FE GE'!$C$3+N18*'PAG20 FE GE'!$C$4</f>
        <v>0</v>
      </c>
    </row>
    <row r="19" spans="1:20" x14ac:dyDescent="0.25">
      <c r="A19" s="80" t="s">
        <v>420</v>
      </c>
      <c r="B19" s="80" t="s">
        <v>448</v>
      </c>
      <c r="C19" s="82" t="s">
        <v>208</v>
      </c>
      <c r="D19" s="82">
        <v>2005</v>
      </c>
      <c r="E19" s="82">
        <v>535</v>
      </c>
      <c r="F19" s="82" t="s">
        <v>678</v>
      </c>
      <c r="G19" s="82" t="s">
        <v>184</v>
      </c>
      <c r="H19" s="84" t="s">
        <v>20</v>
      </c>
      <c r="I19" s="85"/>
      <c r="J19" s="85"/>
      <c r="K19" s="85"/>
      <c r="L19" s="85"/>
      <c r="M19" s="85"/>
      <c r="N19" s="85"/>
      <c r="O19" s="86">
        <f>L19*'PAG100 FE GE'!$E$2+M19*'PAG100 FE GE'!$E$3+N19*'PAG100 FE GE'!$E$4</f>
        <v>0</v>
      </c>
      <c r="P19" s="86">
        <f>L19*'PAG20 FE GE'!$E$2+M19*'PAG20 FE GE'!$E$3+N19*'PAG20 FE GE'!$E$4</f>
        <v>0</v>
      </c>
      <c r="Q19" s="86">
        <f>L19*'PAG100 FE GE'!$D$2+M19*'PAG100 FE GE'!$D$3+N19*'PAG100 FE GE'!$D$4</f>
        <v>0</v>
      </c>
      <c r="R19" s="86">
        <f>L19*'PAG20 FE GE'!$D$2+M19*'PAG20 FE GE'!$D$3+N19*'PAG20 FE GE'!$D$4</f>
        <v>0</v>
      </c>
      <c r="S19" s="86">
        <f>L19*'PAG100 FE GE'!$C$2+M19*'PAG100 FE GE'!$C$3+N19*'PAG100 FE GE'!$C$4</f>
        <v>0</v>
      </c>
      <c r="T19" s="86">
        <f>L19*'PAG20 FE GE'!$C$2+M19*'PAG20 FE GE'!$C$3+N19*'PAG20 FE GE'!$C$4</f>
        <v>0</v>
      </c>
    </row>
    <row r="20" spans="1:20" x14ac:dyDescent="0.25">
      <c r="A20" s="80" t="s">
        <v>420</v>
      </c>
      <c r="B20" s="80" t="s">
        <v>448</v>
      </c>
      <c r="C20" s="82" t="s">
        <v>208</v>
      </c>
      <c r="D20" s="82">
        <v>2004</v>
      </c>
      <c r="E20" s="82">
        <v>484</v>
      </c>
      <c r="F20" s="82" t="s">
        <v>678</v>
      </c>
      <c r="G20" s="82" t="s">
        <v>184</v>
      </c>
      <c r="H20" s="84" t="s">
        <v>20</v>
      </c>
      <c r="I20" s="85"/>
      <c r="J20" s="85"/>
      <c r="K20" s="85"/>
      <c r="L20" s="85"/>
      <c r="M20" s="85"/>
      <c r="N20" s="85"/>
      <c r="O20" s="86">
        <f>L20*'PAG100 FE GE'!$E$2+M20*'PAG100 FE GE'!$E$3+N20*'PAG100 FE GE'!$E$4</f>
        <v>0</v>
      </c>
      <c r="P20" s="86">
        <f>L20*'PAG20 FE GE'!$E$2+M20*'PAG20 FE GE'!$E$3+N20*'PAG20 FE GE'!$E$4</f>
        <v>0</v>
      </c>
      <c r="Q20" s="86">
        <f>L20*'PAG100 FE GE'!$D$2+M20*'PAG100 FE GE'!$D$3+N20*'PAG100 FE GE'!$D$4</f>
        <v>0</v>
      </c>
      <c r="R20" s="86">
        <f>L20*'PAG20 FE GE'!$D$2+M20*'PAG20 FE GE'!$D$3+N20*'PAG20 FE GE'!$D$4</f>
        <v>0</v>
      </c>
      <c r="S20" s="86">
        <f>L20*'PAG100 FE GE'!$C$2+M20*'PAG100 FE GE'!$C$3+N20*'PAG100 FE GE'!$C$4</f>
        <v>0</v>
      </c>
      <c r="T20" s="86">
        <f>L20*'PAG20 FE GE'!$C$2+M20*'PAG20 FE GE'!$C$3+N20*'PAG20 FE GE'!$C$4</f>
        <v>0</v>
      </c>
    </row>
    <row r="21" spans="1:20" x14ac:dyDescent="0.25">
      <c r="A21" s="80" t="s">
        <v>420</v>
      </c>
      <c r="B21" s="80" t="s">
        <v>448</v>
      </c>
      <c r="C21" s="82" t="s">
        <v>208</v>
      </c>
      <c r="D21" s="82">
        <v>2003</v>
      </c>
      <c r="E21" s="82">
        <v>439</v>
      </c>
      <c r="F21" s="82" t="s">
        <v>678</v>
      </c>
      <c r="G21" s="82" t="s">
        <v>184</v>
      </c>
      <c r="H21" s="84" t="s">
        <v>20</v>
      </c>
      <c r="I21" s="85"/>
      <c r="J21" s="85"/>
      <c r="K21" s="85"/>
      <c r="L21" s="85"/>
      <c r="M21" s="85"/>
      <c r="N21" s="85"/>
      <c r="O21" s="86">
        <f>L21*'PAG100 FE GE'!$E$2+M21*'PAG100 FE GE'!$E$3+N21*'PAG100 FE GE'!$E$4</f>
        <v>0</v>
      </c>
      <c r="P21" s="86">
        <f>L21*'PAG20 FE GE'!$E$2+M21*'PAG20 FE GE'!$E$3+N21*'PAG20 FE GE'!$E$4</f>
        <v>0</v>
      </c>
      <c r="Q21" s="86">
        <f>L21*'PAG100 FE GE'!$D$2+M21*'PAG100 FE GE'!$D$3+N21*'PAG100 FE GE'!$D$4</f>
        <v>0</v>
      </c>
      <c r="R21" s="86">
        <f>L21*'PAG20 FE GE'!$D$2+M21*'PAG20 FE GE'!$D$3+N21*'PAG20 FE GE'!$D$4</f>
        <v>0</v>
      </c>
      <c r="S21" s="86">
        <f>L21*'PAG100 FE GE'!$C$2+M21*'PAG100 FE GE'!$C$3+N21*'PAG100 FE GE'!$C$4</f>
        <v>0</v>
      </c>
      <c r="T21" s="86">
        <f>L21*'PAG20 FE GE'!$C$2+M21*'PAG20 FE GE'!$C$3+N21*'PAG20 FE GE'!$C$4</f>
        <v>0</v>
      </c>
    </row>
    <row r="22" spans="1:20" x14ac:dyDescent="0.25">
      <c r="A22" s="80" t="s">
        <v>420</v>
      </c>
      <c r="B22" s="80" t="s">
        <v>448</v>
      </c>
      <c r="C22" s="82" t="s">
        <v>208</v>
      </c>
      <c r="D22" s="82">
        <v>2002</v>
      </c>
      <c r="E22" s="82">
        <v>539</v>
      </c>
      <c r="F22" s="82" t="s">
        <v>678</v>
      </c>
      <c r="G22" s="82" t="s">
        <v>184</v>
      </c>
      <c r="H22" s="84" t="s">
        <v>20</v>
      </c>
      <c r="I22" s="85"/>
      <c r="J22" s="85"/>
      <c r="K22" s="85"/>
      <c r="L22" s="85"/>
      <c r="M22" s="85"/>
      <c r="N22" s="85"/>
      <c r="O22" s="86">
        <f>L22*'PAG100 FE GE'!$E$2+M22*'PAG100 FE GE'!$E$3+N22*'PAG100 FE GE'!$E$4</f>
        <v>0</v>
      </c>
      <c r="P22" s="86">
        <f>L22*'PAG20 FE GE'!$E$2+M22*'PAG20 FE GE'!$E$3+N22*'PAG20 FE GE'!$E$4</f>
        <v>0</v>
      </c>
      <c r="Q22" s="86">
        <f>L22*'PAG100 FE GE'!$D$2+M22*'PAG100 FE GE'!$D$3+N22*'PAG100 FE GE'!$D$4</f>
        <v>0</v>
      </c>
      <c r="R22" s="86">
        <f>L22*'PAG20 FE GE'!$D$2+M22*'PAG20 FE GE'!$D$3+N22*'PAG20 FE GE'!$D$4</f>
        <v>0</v>
      </c>
      <c r="S22" s="86">
        <f>L22*'PAG100 FE GE'!$C$2+M22*'PAG100 FE GE'!$C$3+N22*'PAG100 FE GE'!$C$4</f>
        <v>0</v>
      </c>
      <c r="T22" s="86">
        <f>L22*'PAG20 FE GE'!$C$2+M22*'PAG20 FE GE'!$C$3+N22*'PAG20 FE GE'!$C$4</f>
        <v>0</v>
      </c>
    </row>
    <row r="23" spans="1:20" x14ac:dyDescent="0.25">
      <c r="A23" s="80" t="s">
        <v>420</v>
      </c>
      <c r="B23" s="80" t="s">
        <v>448</v>
      </c>
      <c r="C23" s="82" t="s">
        <v>208</v>
      </c>
      <c r="D23" s="82">
        <v>2001</v>
      </c>
      <c r="E23" s="82">
        <v>461</v>
      </c>
      <c r="F23" s="82" t="s">
        <v>678</v>
      </c>
      <c r="G23" s="82" t="s">
        <v>184</v>
      </c>
      <c r="H23" s="84" t="s">
        <v>20</v>
      </c>
      <c r="I23" s="85"/>
      <c r="J23" s="85"/>
      <c r="K23" s="85"/>
      <c r="L23" s="85"/>
      <c r="M23" s="85"/>
      <c r="N23" s="85"/>
      <c r="O23" s="86">
        <f>L23*'PAG100 FE GE'!$E$2+M23*'PAG100 FE GE'!$E$3+N23*'PAG100 FE GE'!$E$4</f>
        <v>0</v>
      </c>
      <c r="P23" s="86">
        <f>L23*'PAG20 FE GE'!$E$2+M23*'PAG20 FE GE'!$E$3+N23*'PAG20 FE GE'!$E$4</f>
        <v>0</v>
      </c>
      <c r="Q23" s="86">
        <f>L23*'PAG100 FE GE'!$D$2+M23*'PAG100 FE GE'!$D$3+N23*'PAG100 FE GE'!$D$4</f>
        <v>0</v>
      </c>
      <c r="R23" s="86">
        <f>L23*'PAG20 FE GE'!$D$2+M23*'PAG20 FE GE'!$D$3+N23*'PAG20 FE GE'!$D$4</f>
        <v>0</v>
      </c>
      <c r="S23" s="86">
        <f>L23*'PAG100 FE GE'!$C$2+M23*'PAG100 FE GE'!$C$3+N23*'PAG100 FE GE'!$C$4</f>
        <v>0</v>
      </c>
      <c r="T23" s="86">
        <f>L23*'PAG20 FE GE'!$C$2+M23*'PAG20 FE GE'!$C$3+N23*'PAG20 FE GE'!$C$4</f>
        <v>0</v>
      </c>
    </row>
    <row r="24" spans="1:20" x14ac:dyDescent="0.25">
      <c r="A24" s="80" t="s">
        <v>420</v>
      </c>
      <c r="B24" s="80" t="s">
        <v>448</v>
      </c>
      <c r="C24" s="82" t="s">
        <v>208</v>
      </c>
      <c r="D24" s="82">
        <v>2000</v>
      </c>
      <c r="E24" s="82">
        <v>483</v>
      </c>
      <c r="F24" s="82" t="s">
        <v>678</v>
      </c>
      <c r="G24" s="82" t="s">
        <v>184</v>
      </c>
      <c r="H24" s="84" t="s">
        <v>20</v>
      </c>
      <c r="I24" s="85"/>
      <c r="J24" s="85"/>
      <c r="K24" s="85"/>
      <c r="L24" s="85"/>
      <c r="M24" s="85"/>
      <c r="N24" s="85"/>
      <c r="O24" s="86">
        <f>L24*'PAG100 FE GE'!$E$2+M24*'PAG100 FE GE'!$E$3+N24*'PAG100 FE GE'!$E$4</f>
        <v>0</v>
      </c>
      <c r="P24" s="86">
        <f>L24*'PAG20 FE GE'!$E$2+M24*'PAG20 FE GE'!$E$3+N24*'PAG20 FE GE'!$E$4</f>
        <v>0</v>
      </c>
      <c r="Q24" s="86">
        <f>L24*'PAG100 FE GE'!$D$2+M24*'PAG100 FE GE'!$D$3+N24*'PAG100 FE GE'!$D$4</f>
        <v>0</v>
      </c>
      <c r="R24" s="86">
        <f>L24*'PAG20 FE GE'!$D$2+M24*'PAG20 FE GE'!$D$3+N24*'PAG20 FE GE'!$D$4</f>
        <v>0</v>
      </c>
      <c r="S24" s="86">
        <f>L24*'PAG100 FE GE'!$C$2+M24*'PAG100 FE GE'!$C$3+N24*'PAG100 FE GE'!$C$4</f>
        <v>0</v>
      </c>
      <c r="T24" s="86">
        <f>L24*'PAG20 FE GE'!$C$2+M24*'PAG20 FE GE'!$C$3+N24*'PAG20 FE GE'!$C$4</f>
        <v>0</v>
      </c>
    </row>
    <row r="25" spans="1:20" x14ac:dyDescent="0.25">
      <c r="A25" s="80" t="s">
        <v>420</v>
      </c>
      <c r="B25" s="80" t="s">
        <v>448</v>
      </c>
      <c r="C25" s="82" t="s">
        <v>208</v>
      </c>
      <c r="D25" s="82">
        <v>1999</v>
      </c>
      <c r="E25" s="82">
        <v>576</v>
      </c>
      <c r="F25" s="82" t="s">
        <v>678</v>
      </c>
      <c r="G25" s="82" t="s">
        <v>184</v>
      </c>
      <c r="H25" s="84" t="s">
        <v>20</v>
      </c>
      <c r="I25" s="85"/>
      <c r="J25" s="85"/>
      <c r="K25" s="85"/>
      <c r="L25" s="85"/>
      <c r="M25" s="85"/>
      <c r="N25" s="85"/>
      <c r="O25" s="86">
        <f>L25*'PAG100 FE GE'!$E$2+M25*'PAG100 FE GE'!$E$3+N25*'PAG100 FE GE'!$E$4</f>
        <v>0</v>
      </c>
      <c r="P25" s="86">
        <f>L25*'PAG20 FE GE'!$E$2+M25*'PAG20 FE GE'!$E$3+N25*'PAG20 FE GE'!$E$4</f>
        <v>0</v>
      </c>
      <c r="Q25" s="86">
        <f>L25*'PAG100 FE GE'!$D$2+M25*'PAG100 FE GE'!$D$3+N25*'PAG100 FE GE'!$D$4</f>
        <v>0</v>
      </c>
      <c r="R25" s="86">
        <f>L25*'PAG20 FE GE'!$D$2+M25*'PAG20 FE GE'!$D$3+N25*'PAG20 FE GE'!$D$4</f>
        <v>0</v>
      </c>
      <c r="S25" s="86">
        <f>L25*'PAG100 FE GE'!$C$2+M25*'PAG100 FE GE'!$C$3+N25*'PAG100 FE GE'!$C$4</f>
        <v>0</v>
      </c>
      <c r="T25" s="86">
        <f>L25*'PAG20 FE GE'!$C$2+M25*'PAG20 FE GE'!$C$3+N25*'PAG20 FE GE'!$C$4</f>
        <v>0</v>
      </c>
    </row>
    <row r="26" spans="1:20" x14ac:dyDescent="0.25">
      <c r="A26" s="80" t="s">
        <v>420</v>
      </c>
      <c r="B26" s="80" t="s">
        <v>448</v>
      </c>
      <c r="C26" s="82" t="s">
        <v>208</v>
      </c>
      <c r="D26" s="82">
        <v>1998</v>
      </c>
      <c r="E26" s="82">
        <v>474</v>
      </c>
      <c r="F26" s="82" t="s">
        <v>678</v>
      </c>
      <c r="G26" s="82" t="s">
        <v>184</v>
      </c>
      <c r="H26" s="84" t="s">
        <v>20</v>
      </c>
      <c r="I26" s="85"/>
      <c r="J26" s="85"/>
      <c r="K26" s="85"/>
      <c r="L26" s="85"/>
      <c r="M26" s="85"/>
      <c r="N26" s="85"/>
      <c r="O26" s="86">
        <f>L26*'PAG100 FE GE'!$E$2+M26*'PAG100 FE GE'!$E$3+N26*'PAG100 FE GE'!$E$4</f>
        <v>0</v>
      </c>
      <c r="P26" s="86">
        <f>L26*'PAG20 FE GE'!$E$2+M26*'PAG20 FE GE'!$E$3+N26*'PAG20 FE GE'!$E$4</f>
        <v>0</v>
      </c>
      <c r="Q26" s="86">
        <f>L26*'PAG100 FE GE'!$D$2+M26*'PAG100 FE GE'!$D$3+N26*'PAG100 FE GE'!$D$4</f>
        <v>0</v>
      </c>
      <c r="R26" s="86">
        <f>L26*'PAG20 FE GE'!$D$2+M26*'PAG20 FE GE'!$D$3+N26*'PAG20 FE GE'!$D$4</f>
        <v>0</v>
      </c>
      <c r="S26" s="86">
        <f>L26*'PAG100 FE GE'!$C$2+M26*'PAG100 FE GE'!$C$3+N26*'PAG100 FE GE'!$C$4</f>
        <v>0</v>
      </c>
      <c r="T26" s="86">
        <f>L26*'PAG20 FE GE'!$C$2+M26*'PAG20 FE GE'!$C$3+N26*'PAG20 FE GE'!$C$4</f>
        <v>0</v>
      </c>
    </row>
    <row r="27" spans="1:20" x14ac:dyDescent="0.25">
      <c r="A27" s="80" t="s">
        <v>420</v>
      </c>
      <c r="B27" s="80" t="s">
        <v>448</v>
      </c>
      <c r="C27" s="82" t="s">
        <v>208</v>
      </c>
      <c r="D27" s="82">
        <v>1997</v>
      </c>
      <c r="E27" s="82">
        <v>466</v>
      </c>
      <c r="F27" s="82" t="s">
        <v>678</v>
      </c>
      <c r="G27" s="82" t="s">
        <v>184</v>
      </c>
      <c r="H27" s="84" t="s">
        <v>20</v>
      </c>
      <c r="I27" s="85"/>
      <c r="J27" s="85"/>
      <c r="K27" s="85"/>
      <c r="L27" s="85"/>
      <c r="M27" s="85"/>
      <c r="N27" s="85"/>
      <c r="O27" s="86">
        <f>L27*'PAG100 FE GE'!$E$2+M27*'PAG100 FE GE'!$E$3+N27*'PAG100 FE GE'!$E$4</f>
        <v>0</v>
      </c>
      <c r="P27" s="86">
        <f>L27*'PAG20 FE GE'!$E$2+M27*'PAG20 FE GE'!$E$3+N27*'PAG20 FE GE'!$E$4</f>
        <v>0</v>
      </c>
      <c r="Q27" s="86">
        <f>L27*'PAG100 FE GE'!$D$2+M27*'PAG100 FE GE'!$D$3+N27*'PAG100 FE GE'!$D$4</f>
        <v>0</v>
      </c>
      <c r="R27" s="86">
        <f>L27*'PAG20 FE GE'!$D$2+M27*'PAG20 FE GE'!$D$3+N27*'PAG20 FE GE'!$D$4</f>
        <v>0</v>
      </c>
      <c r="S27" s="86">
        <f>L27*'PAG100 FE GE'!$C$2+M27*'PAG100 FE GE'!$C$3+N27*'PAG100 FE GE'!$C$4</f>
        <v>0</v>
      </c>
      <c r="T27" s="86">
        <f>L27*'PAG20 FE GE'!$C$2+M27*'PAG20 FE GE'!$C$3+N27*'PAG20 FE GE'!$C$4</f>
        <v>0</v>
      </c>
    </row>
    <row r="28" spans="1:20" x14ac:dyDescent="0.25">
      <c r="A28" s="80" t="s">
        <v>420</v>
      </c>
      <c r="B28" s="80" t="s">
        <v>448</v>
      </c>
      <c r="C28" s="82" t="s">
        <v>208</v>
      </c>
      <c r="D28" s="82">
        <v>1996</v>
      </c>
      <c r="E28" s="82">
        <v>436</v>
      </c>
      <c r="F28" s="82" t="s">
        <v>678</v>
      </c>
      <c r="G28" s="82" t="s">
        <v>184</v>
      </c>
      <c r="H28" s="84" t="s">
        <v>20</v>
      </c>
      <c r="I28" s="85"/>
      <c r="J28" s="85"/>
      <c r="K28" s="85"/>
      <c r="L28" s="85"/>
      <c r="M28" s="85"/>
      <c r="N28" s="85"/>
      <c r="O28" s="86">
        <f>L28*'PAG100 FE GE'!$E$2+M28*'PAG100 FE GE'!$E$3+N28*'PAG100 FE GE'!$E$4</f>
        <v>0</v>
      </c>
      <c r="P28" s="86">
        <f>L28*'PAG20 FE GE'!$E$2+M28*'PAG20 FE GE'!$E$3+N28*'PAG20 FE GE'!$E$4</f>
        <v>0</v>
      </c>
      <c r="Q28" s="86">
        <f>L28*'PAG100 FE GE'!$D$2+M28*'PAG100 FE GE'!$D$3+N28*'PAG100 FE GE'!$D$4</f>
        <v>0</v>
      </c>
      <c r="R28" s="86">
        <f>L28*'PAG20 FE GE'!$D$2+M28*'PAG20 FE GE'!$D$3+N28*'PAG20 FE GE'!$D$4</f>
        <v>0</v>
      </c>
      <c r="S28" s="86">
        <f>L28*'PAG100 FE GE'!$C$2+M28*'PAG100 FE GE'!$C$3+N28*'PAG100 FE GE'!$C$4</f>
        <v>0</v>
      </c>
      <c r="T28" s="86">
        <f>L28*'PAG20 FE GE'!$C$2+M28*'PAG20 FE GE'!$C$3+N28*'PAG20 FE GE'!$C$4</f>
        <v>0</v>
      </c>
    </row>
    <row r="29" spans="1:20" x14ac:dyDescent="0.25">
      <c r="A29" s="80" t="s">
        <v>420</v>
      </c>
      <c r="B29" s="80" t="s">
        <v>448</v>
      </c>
      <c r="C29" s="82" t="s">
        <v>208</v>
      </c>
      <c r="D29" s="82">
        <v>1995</v>
      </c>
      <c r="E29" s="82">
        <v>573</v>
      </c>
      <c r="F29" s="82" t="s">
        <v>678</v>
      </c>
      <c r="G29" s="82" t="s">
        <v>184</v>
      </c>
      <c r="H29" s="84" t="s">
        <v>20</v>
      </c>
      <c r="I29" s="85"/>
      <c r="J29" s="85"/>
      <c r="K29" s="85"/>
      <c r="L29" s="85"/>
      <c r="M29" s="85"/>
      <c r="N29" s="85"/>
      <c r="O29" s="86">
        <f>L29*'PAG100 FE GE'!$E$2+M29*'PAG100 FE GE'!$E$3+N29*'PAG100 FE GE'!$E$4</f>
        <v>0</v>
      </c>
      <c r="P29" s="86">
        <f>L29*'PAG20 FE GE'!$E$2+M29*'PAG20 FE GE'!$E$3+N29*'PAG20 FE GE'!$E$4</f>
        <v>0</v>
      </c>
      <c r="Q29" s="86">
        <f>L29*'PAG100 FE GE'!$D$2+M29*'PAG100 FE GE'!$D$3+N29*'PAG100 FE GE'!$D$4</f>
        <v>0</v>
      </c>
      <c r="R29" s="86">
        <f>L29*'PAG20 FE GE'!$D$2+M29*'PAG20 FE GE'!$D$3+N29*'PAG20 FE GE'!$D$4</f>
        <v>0</v>
      </c>
      <c r="S29" s="86">
        <f>L29*'PAG100 FE GE'!$C$2+M29*'PAG100 FE GE'!$C$3+N29*'PAG100 FE GE'!$C$4</f>
        <v>0</v>
      </c>
      <c r="T29" s="86">
        <f>L29*'PAG20 FE GE'!$C$2+M29*'PAG20 FE GE'!$C$3+N29*'PAG20 FE GE'!$C$4</f>
        <v>0</v>
      </c>
    </row>
    <row r="30" spans="1:20" x14ac:dyDescent="0.25">
      <c r="A30" s="80" t="s">
        <v>420</v>
      </c>
      <c r="B30" s="80" t="s">
        <v>448</v>
      </c>
      <c r="C30" s="82" t="s">
        <v>208</v>
      </c>
      <c r="D30" s="82">
        <v>1994</v>
      </c>
      <c r="E30" s="82">
        <v>506</v>
      </c>
      <c r="F30" s="82" t="s">
        <v>678</v>
      </c>
      <c r="G30" s="82" t="s">
        <v>184</v>
      </c>
      <c r="H30" s="84" t="s">
        <v>20</v>
      </c>
      <c r="I30" s="85"/>
      <c r="J30" s="85"/>
      <c r="K30" s="85"/>
      <c r="L30" s="85"/>
      <c r="M30" s="85"/>
      <c r="N30" s="85"/>
      <c r="O30" s="86">
        <f>L30*'PAG100 FE GE'!$E$2+M30*'PAG100 FE GE'!$E$3+N30*'PAG100 FE GE'!$E$4</f>
        <v>0</v>
      </c>
      <c r="P30" s="86">
        <f>L30*'PAG20 FE GE'!$E$2+M30*'PAG20 FE GE'!$E$3+N30*'PAG20 FE GE'!$E$4</f>
        <v>0</v>
      </c>
      <c r="Q30" s="86">
        <f>L30*'PAG100 FE GE'!$D$2+M30*'PAG100 FE GE'!$D$3+N30*'PAG100 FE GE'!$D$4</f>
        <v>0</v>
      </c>
      <c r="R30" s="86">
        <f>L30*'PAG20 FE GE'!$D$2+M30*'PAG20 FE GE'!$D$3+N30*'PAG20 FE GE'!$D$4</f>
        <v>0</v>
      </c>
      <c r="S30" s="86">
        <f>L30*'PAG100 FE GE'!$C$2+M30*'PAG100 FE GE'!$C$3+N30*'PAG100 FE GE'!$C$4</f>
        <v>0</v>
      </c>
      <c r="T30" s="86">
        <f>L30*'PAG20 FE GE'!$C$2+M30*'PAG20 FE GE'!$C$3+N30*'PAG20 FE GE'!$C$4</f>
        <v>0</v>
      </c>
    </row>
    <row r="31" spans="1:20" x14ac:dyDescent="0.25">
      <c r="A31" s="80" t="s">
        <v>420</v>
      </c>
      <c r="B31" s="80" t="s">
        <v>448</v>
      </c>
      <c r="C31" s="82" t="s">
        <v>208</v>
      </c>
      <c r="D31" s="82">
        <v>1993</v>
      </c>
      <c r="E31" s="82">
        <v>544</v>
      </c>
      <c r="F31" s="82" t="s">
        <v>678</v>
      </c>
      <c r="G31" s="82" t="s">
        <v>184</v>
      </c>
      <c r="H31" s="84" t="s">
        <v>20</v>
      </c>
      <c r="I31" s="85"/>
      <c r="J31" s="85"/>
      <c r="K31" s="85"/>
      <c r="L31" s="85"/>
      <c r="M31" s="85"/>
      <c r="N31" s="85"/>
      <c r="O31" s="86">
        <f>L31*'PAG100 FE GE'!$E$2+M31*'PAG100 FE GE'!$E$3+N31*'PAG100 FE GE'!$E$4</f>
        <v>0</v>
      </c>
      <c r="P31" s="86">
        <f>L31*'PAG20 FE GE'!$E$2+M31*'PAG20 FE GE'!$E$3+N31*'PAG20 FE GE'!$E$4</f>
        <v>0</v>
      </c>
      <c r="Q31" s="86">
        <f>L31*'PAG100 FE GE'!$D$2+M31*'PAG100 FE GE'!$D$3+N31*'PAG100 FE GE'!$D$4</f>
        <v>0</v>
      </c>
      <c r="R31" s="86">
        <f>L31*'PAG20 FE GE'!$D$2+M31*'PAG20 FE GE'!$D$3+N31*'PAG20 FE GE'!$D$4</f>
        <v>0</v>
      </c>
      <c r="S31" s="86">
        <f>L31*'PAG100 FE GE'!$C$2+M31*'PAG100 FE GE'!$C$3+N31*'PAG100 FE GE'!$C$4</f>
        <v>0</v>
      </c>
      <c r="T31" s="86">
        <f>L31*'PAG20 FE GE'!$C$2+M31*'PAG20 FE GE'!$C$3+N31*'PAG20 FE GE'!$C$4</f>
        <v>0</v>
      </c>
    </row>
    <row r="32" spans="1:20" x14ac:dyDescent="0.25">
      <c r="A32" s="80" t="s">
        <v>420</v>
      </c>
      <c r="B32" s="80" t="s">
        <v>448</v>
      </c>
      <c r="C32" s="82" t="s">
        <v>208</v>
      </c>
      <c r="D32" s="82">
        <v>1992</v>
      </c>
      <c r="E32" s="82">
        <v>621</v>
      </c>
      <c r="F32" s="82" t="s">
        <v>678</v>
      </c>
      <c r="G32" s="82" t="s">
        <v>184</v>
      </c>
      <c r="H32" s="84" t="s">
        <v>20</v>
      </c>
      <c r="I32" s="85"/>
      <c r="J32" s="85"/>
      <c r="K32" s="85"/>
      <c r="L32" s="85"/>
      <c r="M32" s="85"/>
      <c r="N32" s="85"/>
      <c r="O32" s="86">
        <f>L32*'PAG100 FE GE'!$E$2+M32*'PAG100 FE GE'!$E$3+N32*'PAG100 FE GE'!$E$4</f>
        <v>0</v>
      </c>
      <c r="P32" s="86">
        <f>L32*'PAG20 FE GE'!$E$2+M32*'PAG20 FE GE'!$E$3+N32*'PAG20 FE GE'!$E$4</f>
        <v>0</v>
      </c>
      <c r="Q32" s="86">
        <f>L32*'PAG100 FE GE'!$D$2+M32*'PAG100 FE GE'!$D$3+N32*'PAG100 FE GE'!$D$4</f>
        <v>0</v>
      </c>
      <c r="R32" s="86">
        <f>L32*'PAG20 FE GE'!$D$2+M32*'PAG20 FE GE'!$D$3+N32*'PAG20 FE GE'!$D$4</f>
        <v>0</v>
      </c>
      <c r="S32" s="86">
        <f>L32*'PAG100 FE GE'!$C$2+M32*'PAG100 FE GE'!$C$3+N32*'PAG100 FE GE'!$C$4</f>
        <v>0</v>
      </c>
      <c r="T32" s="86">
        <f>L32*'PAG20 FE GE'!$C$2+M32*'PAG20 FE GE'!$C$3+N32*'PAG20 FE GE'!$C$4</f>
        <v>0</v>
      </c>
    </row>
    <row r="33" spans="1:20" x14ac:dyDescent="0.25">
      <c r="A33" s="80" t="s">
        <v>420</v>
      </c>
      <c r="B33" s="80" t="s">
        <v>448</v>
      </c>
      <c r="C33" s="82" t="s">
        <v>208</v>
      </c>
      <c r="D33" s="82">
        <v>1991</v>
      </c>
      <c r="E33" s="82">
        <v>526</v>
      </c>
      <c r="F33" s="82" t="s">
        <v>678</v>
      </c>
      <c r="G33" s="82" t="s">
        <v>184</v>
      </c>
      <c r="H33" s="84" t="s">
        <v>20</v>
      </c>
      <c r="I33" s="85"/>
      <c r="J33" s="85"/>
      <c r="K33" s="85"/>
      <c r="L33" s="85"/>
      <c r="M33" s="85"/>
      <c r="N33" s="85"/>
      <c r="O33" s="86">
        <f>L33*'PAG100 FE GE'!$E$2+M33*'PAG100 FE GE'!$E$3+N33*'PAG100 FE GE'!$E$4</f>
        <v>0</v>
      </c>
      <c r="P33" s="86">
        <f>L33*'PAG20 FE GE'!$E$2+M33*'PAG20 FE GE'!$E$3+N33*'PAG20 FE GE'!$E$4</f>
        <v>0</v>
      </c>
      <c r="Q33" s="86">
        <f>L33*'PAG100 FE GE'!$D$2+M33*'PAG100 FE GE'!$D$3+N33*'PAG100 FE GE'!$D$4</f>
        <v>0</v>
      </c>
      <c r="R33" s="86">
        <f>L33*'PAG20 FE GE'!$D$2+M33*'PAG20 FE GE'!$D$3+N33*'PAG20 FE GE'!$D$4</f>
        <v>0</v>
      </c>
      <c r="S33" s="86">
        <f>L33*'PAG100 FE GE'!$C$2+M33*'PAG100 FE GE'!$C$3+N33*'PAG100 FE GE'!$C$4</f>
        <v>0</v>
      </c>
      <c r="T33" s="86">
        <f>L33*'PAG20 FE GE'!$C$2+M33*'PAG20 FE GE'!$C$3+N33*'PAG20 FE GE'!$C$4</f>
        <v>0</v>
      </c>
    </row>
    <row r="34" spans="1:20" x14ac:dyDescent="0.25">
      <c r="A34" s="80" t="s">
        <v>420</v>
      </c>
      <c r="B34" s="80" t="s">
        <v>448</v>
      </c>
      <c r="C34" s="82" t="s">
        <v>208</v>
      </c>
      <c r="D34" s="82">
        <v>1990</v>
      </c>
      <c r="E34" s="82">
        <v>519</v>
      </c>
      <c r="F34" s="82" t="s">
        <v>678</v>
      </c>
      <c r="G34" s="82" t="s">
        <v>184</v>
      </c>
      <c r="H34" s="84" t="s">
        <v>20</v>
      </c>
      <c r="I34" s="85"/>
      <c r="J34" s="85"/>
      <c r="K34" s="85"/>
      <c r="L34" s="85"/>
      <c r="M34" s="85"/>
      <c r="N34" s="85"/>
      <c r="O34" s="86">
        <f>L34*'PAG100 FE GE'!$E$2+M34*'PAG100 FE GE'!$E$3+N34*'PAG100 FE GE'!$E$4</f>
        <v>0</v>
      </c>
      <c r="P34" s="86">
        <f>L34*'PAG20 FE GE'!$E$2+M34*'PAG20 FE GE'!$E$3+N34*'PAG20 FE GE'!$E$4</f>
        <v>0</v>
      </c>
      <c r="Q34" s="86">
        <f>L34*'PAG100 FE GE'!$D$2+M34*'PAG100 FE GE'!$D$3+N34*'PAG100 FE GE'!$D$4</f>
        <v>0</v>
      </c>
      <c r="R34" s="86">
        <f>L34*'PAG20 FE GE'!$D$2+M34*'PAG20 FE GE'!$D$3+N34*'PAG20 FE GE'!$D$4</f>
        <v>0</v>
      </c>
      <c r="S34" s="86">
        <f>L34*'PAG100 FE GE'!$C$2+M34*'PAG100 FE GE'!$C$3+N34*'PAG100 FE GE'!$C$4</f>
        <v>0</v>
      </c>
      <c r="T34" s="86">
        <f>L34*'PAG20 FE GE'!$C$2+M34*'PAG20 FE GE'!$C$3+N34*'PAG20 FE GE'!$C$4</f>
        <v>0</v>
      </c>
    </row>
    <row r="35" spans="1:20" x14ac:dyDescent="0.25">
      <c r="A35" s="80" t="s">
        <v>420</v>
      </c>
      <c r="B35" s="81" t="s">
        <v>422</v>
      </c>
      <c r="C35" s="82" t="s">
        <v>208</v>
      </c>
      <c r="D35" s="82">
        <v>2022</v>
      </c>
      <c r="E35" s="82">
        <v>164.1</v>
      </c>
      <c r="F35" s="82" t="s">
        <v>678</v>
      </c>
      <c r="G35" s="82" t="s">
        <v>184</v>
      </c>
      <c r="H35" s="84" t="s">
        <v>20</v>
      </c>
      <c r="I35" s="85"/>
      <c r="J35" s="85"/>
      <c r="K35" s="85"/>
      <c r="L35" s="85"/>
      <c r="M35" s="85"/>
      <c r="N35" s="85"/>
      <c r="O35" s="86">
        <f>L35*'PAG100 FE GE'!$E$2+M35*'PAG100 FE GE'!$E$3+N35*'PAG100 FE GE'!$E$4</f>
        <v>0</v>
      </c>
      <c r="P35" s="86">
        <f>L35*'PAG20 FE GE'!$E$2+M35*'PAG20 FE GE'!$E$3+N35*'PAG20 FE GE'!$E$4</f>
        <v>0</v>
      </c>
      <c r="Q35" s="86">
        <f>L35*'PAG100 FE GE'!$D$2+M35*'PAG100 FE GE'!$D$3+N35*'PAG100 FE GE'!$D$4</f>
        <v>0</v>
      </c>
      <c r="R35" s="86">
        <f>L35*'PAG20 FE GE'!$D$2+M35*'PAG20 FE GE'!$D$3+N35*'PAG20 FE GE'!$D$4</f>
        <v>0</v>
      </c>
      <c r="S35" s="86">
        <f>L35*'PAG100 FE GE'!$C$2+M35*'PAG100 FE GE'!$C$3+N35*'PAG100 FE GE'!$C$4</f>
        <v>0</v>
      </c>
      <c r="T35" s="86">
        <f>L35*'PAG20 FE GE'!$C$2+M35*'PAG20 FE GE'!$C$3+N35*'PAG20 FE GE'!$C$4</f>
        <v>0</v>
      </c>
    </row>
    <row r="36" spans="1:20" x14ac:dyDescent="0.25">
      <c r="A36" s="80" t="s">
        <v>420</v>
      </c>
      <c r="B36" s="81" t="s">
        <v>423</v>
      </c>
      <c r="C36" s="82" t="s">
        <v>208</v>
      </c>
      <c r="D36" s="82">
        <v>2022</v>
      </c>
      <c r="E36" s="82">
        <v>219</v>
      </c>
      <c r="F36" s="82" t="s">
        <v>678</v>
      </c>
      <c r="G36" s="82" t="s">
        <v>184</v>
      </c>
      <c r="H36" s="84" t="s">
        <v>20</v>
      </c>
      <c r="I36" s="85"/>
      <c r="J36" s="85"/>
      <c r="K36" s="85"/>
      <c r="L36" s="85"/>
      <c r="M36" s="85"/>
      <c r="N36" s="85"/>
      <c r="O36" s="86">
        <f>L36*'PAG100 FE GE'!$E$2+M36*'PAG100 FE GE'!$E$3+N36*'PAG100 FE GE'!$E$4</f>
        <v>0</v>
      </c>
      <c r="P36" s="86">
        <f>L36*'PAG20 FE GE'!$E$2+M36*'PAG20 FE GE'!$E$3+N36*'PAG20 FE GE'!$E$4</f>
        <v>0</v>
      </c>
      <c r="Q36" s="86">
        <f>L36*'PAG100 FE GE'!$D$2+M36*'PAG100 FE GE'!$D$3+N36*'PAG100 FE GE'!$D$4</f>
        <v>0</v>
      </c>
      <c r="R36" s="86">
        <f>L36*'PAG20 FE GE'!$D$2+M36*'PAG20 FE GE'!$D$3+N36*'PAG20 FE GE'!$D$4</f>
        <v>0</v>
      </c>
      <c r="S36" s="86">
        <f>L36*'PAG100 FE GE'!$C$2+M36*'PAG100 FE GE'!$C$3+N36*'PAG100 FE GE'!$C$4</f>
        <v>0</v>
      </c>
      <c r="T36" s="86">
        <f>L36*'PAG20 FE GE'!$C$2+M36*'PAG20 FE GE'!$C$3+N36*'PAG20 FE GE'!$C$4</f>
        <v>0</v>
      </c>
    </row>
    <row r="37" spans="1:20" x14ac:dyDescent="0.25">
      <c r="A37" s="80" t="s">
        <v>420</v>
      </c>
      <c r="B37" s="81" t="s">
        <v>424</v>
      </c>
      <c r="C37" s="82" t="s">
        <v>208</v>
      </c>
      <c r="D37" s="82">
        <v>2021</v>
      </c>
      <c r="E37" s="82">
        <v>162</v>
      </c>
      <c r="F37" s="82" t="s">
        <v>678</v>
      </c>
      <c r="G37" s="82" t="s">
        <v>184</v>
      </c>
      <c r="H37" s="84" t="s">
        <v>20</v>
      </c>
      <c r="I37" s="85"/>
      <c r="J37" s="85"/>
      <c r="K37" s="85"/>
      <c r="L37" s="85"/>
      <c r="M37" s="85"/>
      <c r="N37" s="85"/>
      <c r="O37" s="86">
        <f>L37*'PAG100 FE GE'!$E$2+M37*'PAG100 FE GE'!$E$3+N37*'PAG100 FE GE'!$E$4</f>
        <v>0</v>
      </c>
      <c r="P37" s="86">
        <f>L37*'PAG20 FE GE'!$E$2+M37*'PAG20 FE GE'!$E$3+N37*'PAG20 FE GE'!$E$4</f>
        <v>0</v>
      </c>
      <c r="Q37" s="86">
        <f>L37*'PAG100 FE GE'!$D$2+M37*'PAG100 FE GE'!$D$3+N37*'PAG100 FE GE'!$D$4</f>
        <v>0</v>
      </c>
      <c r="R37" s="86">
        <f>L37*'PAG20 FE GE'!$D$2+M37*'PAG20 FE GE'!$D$3+N37*'PAG20 FE GE'!$D$4</f>
        <v>0</v>
      </c>
      <c r="S37" s="86">
        <f>L37*'PAG100 FE GE'!$C$2+M37*'PAG100 FE GE'!$C$3+N37*'PAG100 FE GE'!$C$4</f>
        <v>0</v>
      </c>
      <c r="T37" s="86">
        <f>L37*'PAG20 FE GE'!$C$2+M37*'PAG20 FE GE'!$C$3+N37*'PAG20 FE GE'!$C$4</f>
        <v>0</v>
      </c>
    </row>
    <row r="38" spans="1:20" x14ac:dyDescent="0.25">
      <c r="A38" s="80" t="s">
        <v>420</v>
      </c>
      <c r="B38" s="81" t="s">
        <v>424</v>
      </c>
      <c r="C38" s="82" t="s">
        <v>425</v>
      </c>
      <c r="D38" s="82">
        <v>2021</v>
      </c>
      <c r="E38" s="82">
        <v>151</v>
      </c>
      <c r="F38" s="82" t="s">
        <v>678</v>
      </c>
      <c r="G38" s="82" t="s">
        <v>184</v>
      </c>
      <c r="H38" s="84" t="s">
        <v>20</v>
      </c>
      <c r="I38" s="85"/>
      <c r="J38" s="85"/>
      <c r="K38" s="85"/>
      <c r="L38" s="85"/>
      <c r="M38" s="85"/>
      <c r="N38" s="85"/>
      <c r="O38" s="86">
        <f>L38*'PAG100 FE GE'!$E$2+M38*'PAG100 FE GE'!$E$3+N38*'PAG100 FE GE'!$E$4</f>
        <v>0</v>
      </c>
      <c r="P38" s="86">
        <f>L38*'PAG20 FE GE'!$E$2+M38*'PAG20 FE GE'!$E$3+N38*'PAG20 FE GE'!$E$4</f>
        <v>0</v>
      </c>
      <c r="Q38" s="86">
        <f>L38*'PAG100 FE GE'!$D$2+M38*'PAG100 FE GE'!$D$3+N38*'PAG100 FE GE'!$D$4</f>
        <v>0</v>
      </c>
      <c r="R38" s="86">
        <f>L38*'PAG20 FE GE'!$D$2+M38*'PAG20 FE GE'!$D$3+N38*'PAG20 FE GE'!$D$4</f>
        <v>0</v>
      </c>
      <c r="S38" s="86">
        <f>L38*'PAG100 FE GE'!$C$2+M38*'PAG100 FE GE'!$C$3+N38*'PAG100 FE GE'!$C$4</f>
        <v>0</v>
      </c>
      <c r="T38" s="86">
        <f>L38*'PAG20 FE GE'!$C$2+M38*'PAG20 FE GE'!$C$3+N38*'PAG20 FE GE'!$C$4</f>
        <v>0</v>
      </c>
    </row>
    <row r="39" spans="1:20" x14ac:dyDescent="0.25">
      <c r="A39" s="80" t="s">
        <v>420</v>
      </c>
      <c r="B39" s="81" t="s">
        <v>426</v>
      </c>
      <c r="C39" s="82" t="s">
        <v>208</v>
      </c>
      <c r="D39" s="82">
        <v>2022</v>
      </c>
      <c r="E39" s="82">
        <v>234.03</v>
      </c>
      <c r="F39" s="82" t="s">
        <v>678</v>
      </c>
      <c r="G39" s="82" t="s">
        <v>184</v>
      </c>
      <c r="H39" s="84" t="s">
        <v>20</v>
      </c>
      <c r="I39" s="85"/>
      <c r="J39" s="85"/>
      <c r="K39" s="85"/>
      <c r="L39" s="85"/>
      <c r="M39" s="85"/>
      <c r="N39" s="85"/>
      <c r="O39" s="86">
        <f>L39*'PAG100 FE GE'!$E$2+M39*'PAG100 FE GE'!$E$3+N39*'PAG100 FE GE'!$E$4</f>
        <v>0</v>
      </c>
      <c r="P39" s="86">
        <f>L39*'PAG20 FE GE'!$E$2+M39*'PAG20 FE GE'!$E$3+N39*'PAG20 FE GE'!$E$4</f>
        <v>0</v>
      </c>
      <c r="Q39" s="86">
        <f>L39*'PAG100 FE GE'!$D$2+M39*'PAG100 FE GE'!$D$3+N39*'PAG100 FE GE'!$D$4</f>
        <v>0</v>
      </c>
      <c r="R39" s="86">
        <f>L39*'PAG20 FE GE'!$D$2+M39*'PAG20 FE GE'!$D$3+N39*'PAG20 FE GE'!$D$4</f>
        <v>0</v>
      </c>
      <c r="S39" s="86">
        <f>L39*'PAG100 FE GE'!$C$2+M39*'PAG100 FE GE'!$C$3+N39*'PAG100 FE GE'!$C$4</f>
        <v>0</v>
      </c>
      <c r="T39" s="86">
        <f>L39*'PAG20 FE GE'!$C$2+M39*'PAG20 FE GE'!$C$3+N39*'PAG20 FE GE'!$C$4</f>
        <v>0</v>
      </c>
    </row>
    <row r="40" spans="1:20" x14ac:dyDescent="0.25">
      <c r="A40" s="80" t="s">
        <v>420</v>
      </c>
      <c r="B40" s="81" t="s">
        <v>427</v>
      </c>
      <c r="C40" s="82" t="s">
        <v>208</v>
      </c>
      <c r="D40" s="82">
        <v>2022</v>
      </c>
      <c r="E40" s="82">
        <f>E39/1.09</f>
        <v>214.7064220183486</v>
      </c>
      <c r="F40" s="82" t="s">
        <v>678</v>
      </c>
      <c r="G40" s="82" t="s">
        <v>184</v>
      </c>
      <c r="H40" s="84" t="s">
        <v>20</v>
      </c>
      <c r="I40" s="85"/>
      <c r="J40" s="85"/>
      <c r="K40" s="85"/>
      <c r="L40" s="85"/>
      <c r="M40" s="85"/>
      <c r="N40" s="85"/>
      <c r="O40" s="86">
        <f>L40*'PAG100 FE GE'!$E$2+M40*'PAG100 FE GE'!$E$3+N40*'PAG100 FE GE'!$E$4</f>
        <v>0</v>
      </c>
      <c r="P40" s="86">
        <f>L40*'PAG20 FE GE'!$E$2+M40*'PAG20 FE GE'!$E$3+N40*'PAG20 FE GE'!$E$4</f>
        <v>0</v>
      </c>
      <c r="Q40" s="86">
        <f>L40*'PAG100 FE GE'!$D$2+M40*'PAG100 FE GE'!$D$3+N40*'PAG100 FE GE'!$D$4</f>
        <v>0</v>
      </c>
      <c r="R40" s="86">
        <f>L40*'PAG20 FE GE'!$D$2+M40*'PAG20 FE GE'!$D$3+N40*'PAG20 FE GE'!$D$4</f>
        <v>0</v>
      </c>
      <c r="S40" s="86">
        <f>L40*'PAG100 FE GE'!$C$2+M40*'PAG100 FE GE'!$C$3+N40*'PAG100 FE GE'!$C$4</f>
        <v>0</v>
      </c>
      <c r="T40" s="86">
        <f>L40*'PAG20 FE GE'!$C$2+M40*'PAG20 FE GE'!$C$3+N40*'PAG20 FE GE'!$C$4</f>
        <v>0</v>
      </c>
    </row>
    <row r="41" spans="1:20" x14ac:dyDescent="0.25">
      <c r="A41" s="80" t="s">
        <v>420</v>
      </c>
      <c r="B41" s="82" t="s">
        <v>428</v>
      </c>
      <c r="C41" s="82" t="s">
        <v>429</v>
      </c>
      <c r="D41" s="82">
        <v>2022</v>
      </c>
      <c r="E41" s="82">
        <v>193.38</v>
      </c>
      <c r="F41" s="82" t="s">
        <v>678</v>
      </c>
      <c r="G41" s="82" t="s">
        <v>184</v>
      </c>
      <c r="H41" s="82" t="s">
        <v>20</v>
      </c>
      <c r="I41">
        <v>191.21</v>
      </c>
      <c r="J41" s="82">
        <v>0.8</v>
      </c>
      <c r="K41" s="82">
        <v>1.37</v>
      </c>
      <c r="L41">
        <f>I41</f>
        <v>191.21</v>
      </c>
      <c r="M41">
        <f>J41/'PAG100 FE GE'!D3</f>
        <v>2.8571428571428574E-2</v>
      </c>
      <c r="N41">
        <f>K41/'PAG100 FE GE'!D4</f>
        <v>5.1698113207547178E-3</v>
      </c>
      <c r="O41" s="71">
        <f>L41*'PAG100 FE GE'!$E$2+M41*'PAG100 FE GE'!$E$3+N41*'PAG100 FE GE'!$E$4</f>
        <v>193.41850134770891</v>
      </c>
      <c r="P41" s="71">
        <f>L41*'PAG20 FE GE'!$E$2+M41*'PAG20 FE GE'!$E$3+N41*'PAG20 FE GE'!$E$4</f>
        <v>194.94135849056605</v>
      </c>
      <c r="Q41" s="71">
        <f>L41*'PAG100 FE GE'!$D$2+M41*'PAG100 FE GE'!$D$3+N41*'PAG100 FE GE'!$D$4</f>
        <v>193.38000000000002</v>
      </c>
      <c r="R41" s="71">
        <f>L41*'PAG20 FE GE'!$D$2+M41*'PAG20 FE GE'!$D$3+N41*'PAG20 FE GE'!$D$4</f>
        <v>195.00340161725066</v>
      </c>
      <c r="S41" s="71">
        <f>L41*'PAG100 FE GE'!$C$2+M41*'PAG100 FE GE'!$C$3+N41*'PAG100 FE GE'!$C$4</f>
        <v>193.46488948787064</v>
      </c>
      <c r="T41" s="71">
        <f>L41*'PAG20 FE GE'!$C$2+M41*'PAG20 FE GE'!$C$3+N41*'PAG20 FE GE'!$C$4</f>
        <v>194.76121832884098</v>
      </c>
    </row>
    <row r="42" spans="1:20" x14ac:dyDescent="0.25">
      <c r="A42" s="80" t="s">
        <v>420</v>
      </c>
      <c r="B42" s="82" t="s">
        <v>428</v>
      </c>
      <c r="C42" s="82" t="s">
        <v>429</v>
      </c>
      <c r="D42" s="82">
        <v>2021</v>
      </c>
      <c r="E42" s="82">
        <v>213.33</v>
      </c>
      <c r="F42" s="82" t="s">
        <v>678</v>
      </c>
      <c r="G42" s="82" t="s">
        <v>184</v>
      </c>
      <c r="H42" s="82" t="s">
        <v>20</v>
      </c>
      <c r="I42">
        <v>210.16</v>
      </c>
      <c r="J42" s="82">
        <v>0.8</v>
      </c>
      <c r="K42" s="82">
        <v>1.37</v>
      </c>
      <c r="L42">
        <f>I42</f>
        <v>210.16</v>
      </c>
      <c r="M42">
        <f>J42/'PAG100 FE GE'!D3</f>
        <v>2.8571428571428574E-2</v>
      </c>
      <c r="N42">
        <f>K42/'PAG100 FE GE'!D4</f>
        <v>5.1698113207547178E-3</v>
      </c>
      <c r="O42" s="71">
        <f>L42*'PAG100 FE GE'!$E$2+M42*'PAG100 FE GE'!$E$3+N42*'PAG100 FE GE'!$E$4</f>
        <v>212.3685013477089</v>
      </c>
      <c r="P42" s="71">
        <f>L42*'PAG20 FE GE'!$E$2+M42*'PAG20 FE GE'!$E$3+N42*'PAG20 FE GE'!$E$4</f>
        <v>213.89135849056603</v>
      </c>
      <c r="Q42" s="71">
        <f>L42*'PAG100 FE GE'!$D$2+M42*'PAG100 FE GE'!$D$3+N42*'PAG100 FE GE'!$D$4</f>
        <v>212.33</v>
      </c>
      <c r="R42" s="71">
        <f>L42*'PAG20 FE GE'!$D$2+M42*'PAG20 FE GE'!$D$3+N42*'PAG20 FE GE'!$D$4</f>
        <v>213.95340161725065</v>
      </c>
      <c r="S42" s="71">
        <f>L42*'PAG100 FE GE'!$C$2+M42*'PAG100 FE GE'!$C$3+N42*'PAG100 FE GE'!$C$4</f>
        <v>212.41488948787062</v>
      </c>
      <c r="T42" s="71">
        <f>L42*'PAG20 FE GE'!$C$2+M42*'PAG20 FE GE'!$C$3+N42*'PAG20 FE GE'!$C$4</f>
        <v>213.71121832884097</v>
      </c>
    </row>
    <row r="43" spans="1:20" x14ac:dyDescent="0.25">
      <c r="A43" s="83" t="s">
        <v>436</v>
      </c>
      <c r="B43" s="82" t="s">
        <v>437</v>
      </c>
      <c r="C43" s="82" t="s">
        <v>439</v>
      </c>
      <c r="D43" s="82">
        <v>2022</v>
      </c>
      <c r="E43" s="82">
        <v>238.96</v>
      </c>
      <c r="F43" s="82" t="s">
        <v>678</v>
      </c>
      <c r="G43" s="82" t="s">
        <v>184</v>
      </c>
      <c r="H43" s="84" t="s">
        <v>20</v>
      </c>
      <c r="I43" s="85"/>
      <c r="J43" s="85"/>
      <c r="K43" s="85"/>
      <c r="L43" s="85"/>
      <c r="M43" s="85"/>
      <c r="N43" s="85"/>
      <c r="O43" s="86">
        <f>L43*'PAG100 FE GE'!$E$2+M43*'PAG100 FE GE'!$E$3+N43*'PAG100 FE GE'!$E$4</f>
        <v>0</v>
      </c>
      <c r="P43" s="86">
        <f>L43*'PAG20 FE GE'!$E$2+M43*'PAG20 FE GE'!$E$3+N43*'PAG20 FE GE'!$E$4</f>
        <v>0</v>
      </c>
      <c r="Q43" s="86">
        <f>L43*'PAG100 FE GE'!$D$2+M43*'PAG100 FE GE'!$D$3+N43*'PAG100 FE GE'!$D$4</f>
        <v>0</v>
      </c>
      <c r="R43" s="86">
        <f>L43*'PAG20 FE GE'!$D$2+M43*'PAG20 FE GE'!$D$3+N43*'PAG20 FE GE'!$D$4</f>
        <v>0</v>
      </c>
      <c r="S43" s="86">
        <f>L43*'PAG100 FE GE'!$C$2+M43*'PAG100 FE GE'!$C$3+N43*'PAG100 FE GE'!$C$4</f>
        <v>0</v>
      </c>
      <c r="T43" s="86">
        <f>L43*'PAG20 FE GE'!$C$2+M43*'PAG20 FE GE'!$C$3+N43*'PAG20 FE GE'!$C$4</f>
        <v>0</v>
      </c>
    </row>
    <row r="44" spans="1:20" x14ac:dyDescent="0.25">
      <c r="A44" s="83" t="s">
        <v>436</v>
      </c>
      <c r="B44" s="82" t="s">
        <v>437</v>
      </c>
      <c r="C44" s="82" t="s">
        <v>440</v>
      </c>
      <c r="D44" s="82">
        <v>2022</v>
      </c>
      <c r="E44" s="82">
        <v>262.88</v>
      </c>
      <c r="F44" s="82" t="s">
        <v>678</v>
      </c>
      <c r="G44" s="82" t="s">
        <v>184</v>
      </c>
      <c r="H44" s="84" t="s">
        <v>20</v>
      </c>
      <c r="I44" s="85"/>
      <c r="J44" s="85"/>
      <c r="K44" s="85"/>
      <c r="L44" s="85"/>
      <c r="M44" s="85"/>
      <c r="N44" s="85"/>
      <c r="O44" s="86">
        <f>L44*'PAG100 FE GE'!$E$2+M44*'PAG100 FE GE'!$E$3+N44*'PAG100 FE GE'!$E$4</f>
        <v>0</v>
      </c>
      <c r="P44" s="86">
        <f>L44*'PAG20 FE GE'!$E$2+M44*'PAG20 FE GE'!$E$3+N44*'PAG20 FE GE'!$E$4</f>
        <v>0</v>
      </c>
      <c r="Q44" s="86">
        <f>L44*'PAG100 FE GE'!$D$2+M44*'PAG100 FE GE'!$D$3+N44*'PAG100 FE GE'!$D$4</f>
        <v>0</v>
      </c>
      <c r="R44" s="86">
        <f>L44*'PAG20 FE GE'!$D$2+M44*'PAG20 FE GE'!$D$3+N44*'PAG20 FE GE'!$D$4</f>
        <v>0</v>
      </c>
      <c r="S44" s="86">
        <f>L44*'PAG100 FE GE'!$C$2+M44*'PAG100 FE GE'!$C$3+N44*'PAG100 FE GE'!$C$4</f>
        <v>0</v>
      </c>
      <c r="T44" s="86">
        <f>L44*'PAG20 FE GE'!$C$2+M44*'PAG20 FE GE'!$C$3+N44*'PAG20 FE GE'!$C$4</f>
        <v>0</v>
      </c>
    </row>
    <row r="45" spans="1:20" x14ac:dyDescent="0.25">
      <c r="A45" s="83" t="s">
        <v>436</v>
      </c>
      <c r="B45" s="82" t="s">
        <v>437</v>
      </c>
      <c r="C45" s="82" t="s">
        <v>441</v>
      </c>
      <c r="D45" s="82">
        <v>2022</v>
      </c>
      <c r="E45" s="82">
        <v>216.01</v>
      </c>
      <c r="F45" s="82" t="s">
        <v>678</v>
      </c>
      <c r="G45" s="82" t="s">
        <v>184</v>
      </c>
      <c r="H45" s="84" t="s">
        <v>20</v>
      </c>
      <c r="I45" s="85"/>
      <c r="J45" s="85"/>
      <c r="K45" s="85"/>
      <c r="L45" s="85"/>
      <c r="M45" s="85"/>
      <c r="N45" s="85"/>
      <c r="O45" s="86">
        <f>L45*'PAG100 FE GE'!$E$2+M45*'PAG100 FE GE'!$E$3+N45*'PAG100 FE GE'!$E$4</f>
        <v>0</v>
      </c>
      <c r="P45" s="86">
        <f>L45*'PAG20 FE GE'!$E$2+M45*'PAG20 FE GE'!$E$3+N45*'PAG20 FE GE'!$E$4</f>
        <v>0</v>
      </c>
      <c r="Q45" s="86">
        <f>L45*'PAG100 FE GE'!$D$2+M45*'PAG100 FE GE'!$D$3+N45*'PAG100 FE GE'!$D$4</f>
        <v>0</v>
      </c>
      <c r="R45" s="86">
        <f>L45*'PAG20 FE GE'!$D$2+M45*'PAG20 FE GE'!$D$3+N45*'PAG20 FE GE'!$D$4</f>
        <v>0</v>
      </c>
      <c r="S45" s="86">
        <f>L45*'PAG100 FE GE'!$C$2+M45*'PAG100 FE GE'!$C$3+N45*'PAG100 FE GE'!$C$4</f>
        <v>0</v>
      </c>
      <c r="T45" s="86">
        <f>L45*'PAG20 FE GE'!$C$2+M45*'PAG20 FE GE'!$C$3+N45*'PAG20 FE GE'!$C$4</f>
        <v>0</v>
      </c>
    </row>
    <row r="46" spans="1:20" x14ac:dyDescent="0.25">
      <c r="A46" s="83" t="s">
        <v>436</v>
      </c>
      <c r="B46" s="82" t="s">
        <v>437</v>
      </c>
      <c r="C46" s="82" t="s">
        <v>442</v>
      </c>
      <c r="D46" s="82">
        <v>2022</v>
      </c>
      <c r="E46" s="82">
        <v>0</v>
      </c>
      <c r="F46" s="82" t="s">
        <v>678</v>
      </c>
      <c r="G46" s="82" t="s">
        <v>184</v>
      </c>
      <c r="H46" s="84" t="s">
        <v>20</v>
      </c>
      <c r="I46" s="85"/>
      <c r="J46" s="85"/>
      <c r="K46" s="85"/>
      <c r="L46" s="85"/>
      <c r="M46" s="85"/>
      <c r="N46" s="85"/>
      <c r="O46" s="86">
        <f>L46*'PAG100 FE GE'!$E$2+M46*'PAG100 FE GE'!$E$3+N46*'PAG100 FE GE'!$E$4</f>
        <v>0</v>
      </c>
      <c r="P46" s="86">
        <f>L46*'PAG20 FE GE'!$E$2+M46*'PAG20 FE GE'!$E$3+N46*'PAG20 FE GE'!$E$4</f>
        <v>0</v>
      </c>
      <c r="Q46" s="86">
        <f>L46*'PAG100 FE GE'!$D$2+M46*'PAG100 FE GE'!$D$3+N46*'PAG100 FE GE'!$D$4</f>
        <v>0</v>
      </c>
      <c r="R46" s="86">
        <f>L46*'PAG20 FE GE'!$D$2+M46*'PAG20 FE GE'!$D$3+N46*'PAG20 FE GE'!$D$4</f>
        <v>0</v>
      </c>
      <c r="S46" s="86">
        <f>L46*'PAG100 FE GE'!$C$2+M46*'PAG100 FE GE'!$C$3+N46*'PAG100 FE GE'!$C$4</f>
        <v>0</v>
      </c>
      <c r="T46" s="86">
        <f>L46*'PAG20 FE GE'!$C$2+M46*'PAG20 FE GE'!$C$3+N46*'PAG20 FE GE'!$C$4</f>
        <v>0</v>
      </c>
    </row>
    <row r="47" spans="1:20" x14ac:dyDescent="0.25">
      <c r="A47" s="83" t="s">
        <v>436</v>
      </c>
      <c r="B47" s="82" t="s">
        <v>438</v>
      </c>
      <c r="C47" s="82" t="s">
        <v>438</v>
      </c>
      <c r="D47" s="82">
        <v>2022</v>
      </c>
      <c r="E47" s="82">
        <v>248.08</v>
      </c>
      <c r="F47" s="82" t="s">
        <v>678</v>
      </c>
      <c r="G47" s="82" t="s">
        <v>184</v>
      </c>
      <c r="H47" s="84" t="s">
        <v>20</v>
      </c>
      <c r="I47" s="85"/>
      <c r="J47" s="85"/>
      <c r="K47" s="85"/>
      <c r="L47" s="85"/>
      <c r="M47" s="85"/>
      <c r="N47" s="85"/>
      <c r="O47" s="86">
        <f>L47*'PAG100 FE GE'!$E$2+M47*'PAG100 FE GE'!$E$3+N47*'PAG100 FE GE'!$E$4</f>
        <v>0</v>
      </c>
      <c r="P47" s="86">
        <f>L47*'PAG20 FE GE'!$E$2+M47*'PAG20 FE GE'!$E$3+N47*'PAG20 FE GE'!$E$4</f>
        <v>0</v>
      </c>
      <c r="Q47" s="86">
        <f>L47*'PAG100 FE GE'!$D$2+M47*'PAG100 FE GE'!$D$3+N47*'PAG100 FE GE'!$D$4</f>
        <v>0</v>
      </c>
      <c r="R47" s="86">
        <f>L47*'PAG20 FE GE'!$D$2+M47*'PAG20 FE GE'!$D$3+N47*'PAG20 FE GE'!$D$4</f>
        <v>0</v>
      </c>
      <c r="S47" s="86">
        <f>L47*'PAG100 FE GE'!$C$2+M47*'PAG100 FE GE'!$C$3+N47*'PAG100 FE GE'!$C$4</f>
        <v>0</v>
      </c>
      <c r="T47" s="86">
        <f>L47*'PAG20 FE GE'!$C$2+M47*'PAG20 FE GE'!$C$3+N47*'PAG20 FE GE'!$C$4</f>
        <v>0</v>
      </c>
    </row>
    <row r="48" spans="1:20" x14ac:dyDescent="0.25">
      <c r="A48" s="83" t="s">
        <v>436</v>
      </c>
      <c r="B48" s="82" t="s">
        <v>438</v>
      </c>
      <c r="C48" s="82" t="s">
        <v>438</v>
      </c>
      <c r="D48" s="82">
        <v>2021</v>
      </c>
      <c r="E48" s="82">
        <v>273.08</v>
      </c>
      <c r="F48" s="82" t="s">
        <v>678</v>
      </c>
      <c r="G48" s="82" t="s">
        <v>184</v>
      </c>
      <c r="H48" s="84" t="s">
        <v>20</v>
      </c>
      <c r="I48" s="85"/>
      <c r="J48" s="85"/>
      <c r="K48" s="85"/>
      <c r="L48" s="85"/>
      <c r="M48" s="85"/>
      <c r="N48" s="85"/>
      <c r="O48" s="86">
        <f>L48*'PAG100 FE GE'!$E$2+M48*'PAG100 FE GE'!$E$3+N48*'PAG100 FE GE'!$E$4</f>
        <v>0</v>
      </c>
      <c r="P48" s="86">
        <f>L48*'PAG20 FE GE'!$E$2+M48*'PAG20 FE GE'!$E$3+N48*'PAG20 FE GE'!$E$4</f>
        <v>0</v>
      </c>
      <c r="Q48" s="86">
        <f>L48*'PAG100 FE GE'!$D$2+M48*'PAG100 FE GE'!$D$3+N48*'PAG100 FE GE'!$D$4</f>
        <v>0</v>
      </c>
      <c r="R48" s="86">
        <f>L48*'PAG20 FE GE'!$D$2+M48*'PAG20 FE GE'!$D$3+N48*'PAG20 FE GE'!$D$4</f>
        <v>0</v>
      </c>
      <c r="S48" s="86">
        <f>L48*'PAG100 FE GE'!$C$2+M48*'PAG100 FE GE'!$C$3+N48*'PAG100 FE GE'!$C$4</f>
        <v>0</v>
      </c>
      <c r="T48" s="86">
        <f>L48*'PAG20 FE GE'!$C$2+M48*'PAG20 FE GE'!$C$3+N48*'PAG20 FE GE'!$C$4</f>
        <v>0</v>
      </c>
    </row>
    <row r="49" spans="1:20" x14ac:dyDescent="0.25">
      <c r="A49" s="80" t="s">
        <v>420</v>
      </c>
      <c r="B49" s="82" t="s">
        <v>428</v>
      </c>
      <c r="C49" s="82" t="s">
        <v>429</v>
      </c>
      <c r="D49" s="82">
        <v>2023</v>
      </c>
      <c r="E49" s="82">
        <v>207.07400000000001</v>
      </c>
      <c r="F49" s="82" t="s">
        <v>678</v>
      </c>
      <c r="G49" s="82" t="s">
        <v>184</v>
      </c>
      <c r="H49" s="82" t="s">
        <v>20</v>
      </c>
      <c r="I49">
        <v>204.96</v>
      </c>
      <c r="J49" s="82">
        <v>0.89600000000000002</v>
      </c>
      <c r="K49" s="82">
        <v>1.218</v>
      </c>
      <c r="L49">
        <f>I49</f>
        <v>204.96</v>
      </c>
      <c r="M49">
        <f>J49/'PAG100 FE GE'!D12</f>
        <v>6.4927536231884058E-3</v>
      </c>
      <c r="N49">
        <f>K49/'PAG100 FE GE'!D13</f>
        <v>2.5375000000000002E-4</v>
      </c>
      <c r="O49" s="71">
        <f>L49*'PAG100 FE GE'!$E$2+M49*'PAG100 FE GE'!$E$3+N49*'PAG100 FE GE'!$E$4</f>
        <v>205.21042157608699</v>
      </c>
      <c r="P49" s="71">
        <f>L49*'PAG20 FE GE'!$E$2+M49*'PAG20 FE GE'!$E$3+N49*'PAG20 FE GE'!$E$4</f>
        <v>205.55648534420291</v>
      </c>
      <c r="Q49" s="71">
        <f>L49*'PAG100 FE GE'!$D$2+M49*'PAG100 FE GE'!$D$3+N49*'PAG100 FE GE'!$D$4</f>
        <v>205.20904085144926</v>
      </c>
      <c r="R49" s="71">
        <f>L49*'PAG20 FE GE'!$D$2+M49*'PAG20 FE GE'!$D$3+N49*'PAG20 FE GE'!$D$4</f>
        <v>205.57887405797103</v>
      </c>
      <c r="S49" s="71">
        <f>L49*'PAG100 FE GE'!$C$2+M49*'PAG100 FE GE'!$C$3+N49*'PAG100 FE GE'!$C$4</f>
        <v>205.1979363405797</v>
      </c>
      <c r="T49" s="71">
        <f>L49*'PAG20 FE GE'!$C$2+M49*'PAG20 FE GE'!$C$3+N49*'PAG20 FE GE'!$C$4</f>
        <v>205.50081201086957</v>
      </c>
    </row>
    <row r="50" spans="1:20" x14ac:dyDescent="0.25">
      <c r="A50" s="83" t="s">
        <v>436</v>
      </c>
      <c r="B50" s="82" t="s">
        <v>795</v>
      </c>
      <c r="C50" s="82" t="s">
        <v>795</v>
      </c>
      <c r="D50" s="82">
        <v>2023</v>
      </c>
      <c r="E50" s="82">
        <v>185.06</v>
      </c>
      <c r="F50" s="82" t="s">
        <v>678</v>
      </c>
      <c r="G50" s="82" t="s">
        <v>184</v>
      </c>
      <c r="H50" s="84" t="s">
        <v>20</v>
      </c>
      <c r="I50" s="85"/>
      <c r="J50" s="85"/>
      <c r="K50" s="85"/>
      <c r="L50" s="85"/>
      <c r="M50" s="85"/>
      <c r="N50" s="85"/>
      <c r="O50" s="86">
        <f>L50*'PAG100 FE GE'!$E$2+M50*'PAG100 FE GE'!$E$3+N50*'PAG100 FE GE'!$E$4</f>
        <v>0</v>
      </c>
      <c r="P50" s="86">
        <f>L50*'PAG20 FE GE'!$E$2+M50*'PAG20 FE GE'!$E$3+N50*'PAG20 FE GE'!$E$4</f>
        <v>0</v>
      </c>
      <c r="Q50" s="86">
        <f>L50*'PAG100 FE GE'!$D$2+M50*'PAG100 FE GE'!$D$3+N50*'PAG100 FE GE'!$D$4</f>
        <v>0</v>
      </c>
      <c r="R50" s="86">
        <f>L50*'PAG20 FE GE'!$D$2+M50*'PAG20 FE GE'!$D$3+N50*'PAG20 FE GE'!$D$4</f>
        <v>0</v>
      </c>
      <c r="S50" s="86">
        <f>L50*'PAG100 FE GE'!$C$2+M50*'PAG100 FE GE'!$C$3+N50*'PAG100 FE GE'!$C$4</f>
        <v>0</v>
      </c>
      <c r="T50" s="86">
        <f>L50*'PAG20 FE GE'!$C$2+M50*'PAG20 FE GE'!$C$3+N50*'PAG20 FE GE'!$C$4</f>
        <v>0</v>
      </c>
    </row>
    <row r="51" spans="1:20" x14ac:dyDescent="0.25">
      <c r="A51" s="83" t="s">
        <v>436</v>
      </c>
      <c r="B51" s="82" t="s">
        <v>795</v>
      </c>
      <c r="C51" s="82" t="s">
        <v>795</v>
      </c>
      <c r="D51" s="82">
        <v>2022</v>
      </c>
      <c r="E51" s="223">
        <v>185.06</v>
      </c>
      <c r="F51" s="82" t="s">
        <v>678</v>
      </c>
      <c r="G51" s="82" t="s">
        <v>184</v>
      </c>
      <c r="H51" s="84" t="s">
        <v>20</v>
      </c>
      <c r="I51" s="85"/>
      <c r="J51" s="85"/>
      <c r="K51" s="85"/>
      <c r="L51" s="85"/>
      <c r="M51" s="85"/>
      <c r="N51" s="85"/>
      <c r="O51" s="86">
        <f>L51*'PAG100 FE GE'!$E$2+M51*'PAG100 FE GE'!$E$3+N51*'PAG100 FE GE'!$E$4</f>
        <v>0</v>
      </c>
      <c r="P51" s="86">
        <f>L51*'PAG20 FE GE'!$E$2+M51*'PAG20 FE GE'!$E$3+N51*'PAG20 FE GE'!$E$4</f>
        <v>0</v>
      </c>
      <c r="Q51" s="86">
        <f>L51*'PAG100 FE GE'!$D$2+M51*'PAG100 FE GE'!$D$3+N51*'PAG100 FE GE'!$D$4</f>
        <v>0</v>
      </c>
      <c r="R51" s="86">
        <f>L51*'PAG20 FE GE'!$D$2+M51*'PAG20 FE GE'!$D$3+N51*'PAG20 FE GE'!$D$4</f>
        <v>0</v>
      </c>
      <c r="S51" s="86">
        <f>L51*'PAG100 FE GE'!$C$2+M51*'PAG100 FE GE'!$C$3+N51*'PAG100 FE GE'!$C$4</f>
        <v>0</v>
      </c>
      <c r="T51" s="86">
        <f>L51*'PAG20 FE GE'!$C$2+M51*'PAG20 FE GE'!$C$3+N51*'PAG20 FE GE'!$C$4</f>
        <v>0</v>
      </c>
    </row>
    <row r="52" spans="1:20" x14ac:dyDescent="0.25">
      <c r="A52" s="83" t="s">
        <v>436</v>
      </c>
      <c r="B52" s="82" t="s">
        <v>796</v>
      </c>
      <c r="C52" s="82" t="s">
        <v>796</v>
      </c>
      <c r="D52" s="82">
        <v>2022</v>
      </c>
      <c r="E52" s="82">
        <v>0</v>
      </c>
      <c r="F52" s="82" t="s">
        <v>678</v>
      </c>
      <c r="G52" s="82" t="s">
        <v>184</v>
      </c>
      <c r="H52" s="84" t="s">
        <v>20</v>
      </c>
      <c r="I52" s="85"/>
      <c r="J52" s="85"/>
      <c r="K52" s="85"/>
      <c r="L52" s="85"/>
      <c r="M52" s="85"/>
      <c r="N52" s="85"/>
      <c r="O52" s="86">
        <f>L52*'PAG100 FE GE'!$E$2+M52*'PAG100 FE GE'!$E$3+N52*'PAG100 FE GE'!$E$4</f>
        <v>0</v>
      </c>
      <c r="P52" s="86">
        <f>L52*'PAG20 FE GE'!$E$2+M52*'PAG20 FE GE'!$E$3+N52*'PAG20 FE GE'!$E$4</f>
        <v>0</v>
      </c>
      <c r="Q52" s="86">
        <f>L52*'PAG100 FE GE'!$D$2+M52*'PAG100 FE GE'!$D$3+N52*'PAG100 FE GE'!$D$4</f>
        <v>0</v>
      </c>
      <c r="R52" s="86">
        <f>L52*'PAG20 FE GE'!$D$2+M52*'PAG20 FE GE'!$D$3+N52*'PAG20 FE GE'!$D$4</f>
        <v>0</v>
      </c>
      <c r="S52" s="86">
        <f>L52*'PAG100 FE GE'!$C$2+M52*'PAG100 FE GE'!$C$3+N52*'PAG100 FE GE'!$C$4</f>
        <v>0</v>
      </c>
      <c r="T52" s="86">
        <f>L52*'PAG20 FE GE'!$C$2+M52*'PAG20 FE GE'!$C$3+N52*'PAG20 FE GE'!$C$4</f>
        <v>0</v>
      </c>
    </row>
    <row r="53" spans="1:20" x14ac:dyDescent="0.25">
      <c r="A53" s="83" t="s">
        <v>436</v>
      </c>
      <c r="B53" s="82" t="s">
        <v>796</v>
      </c>
      <c r="C53" s="82" t="s">
        <v>796</v>
      </c>
      <c r="D53" s="82">
        <v>2023</v>
      </c>
      <c r="E53" s="82">
        <v>0</v>
      </c>
      <c r="F53" s="82" t="s">
        <v>678</v>
      </c>
      <c r="G53" s="82" t="s">
        <v>184</v>
      </c>
      <c r="H53" s="84" t="s">
        <v>20</v>
      </c>
      <c r="I53" s="85"/>
      <c r="J53" s="85"/>
      <c r="K53" s="85"/>
      <c r="L53" s="85"/>
      <c r="M53" s="85"/>
      <c r="N53" s="85"/>
      <c r="O53" s="86">
        <f>L53*'PAG100 FE GE'!$E$2+M53*'PAG100 FE GE'!$E$3+N53*'PAG100 FE GE'!$E$4</f>
        <v>0</v>
      </c>
      <c r="P53" s="86">
        <f>L53*'PAG20 FE GE'!$E$2+M53*'PAG20 FE GE'!$E$3+N53*'PAG20 FE GE'!$E$4</f>
        <v>0</v>
      </c>
      <c r="Q53" s="86">
        <f>L53*'PAG100 FE GE'!$D$2+M53*'PAG100 FE GE'!$D$3+N53*'PAG100 FE GE'!$D$4</f>
        <v>0</v>
      </c>
      <c r="R53" s="86">
        <f>L53*'PAG20 FE GE'!$D$2+M53*'PAG20 FE GE'!$D$3+N53*'PAG20 FE GE'!$D$4</f>
        <v>0</v>
      </c>
      <c r="S53" s="86">
        <f>L53*'PAG100 FE GE'!$C$2+M53*'PAG100 FE GE'!$C$3+N53*'PAG100 FE GE'!$C$4</f>
        <v>0</v>
      </c>
      <c r="T53" s="86">
        <f>L53*'PAG20 FE GE'!$C$2+M53*'PAG20 FE GE'!$C$3+N53*'PAG20 FE GE'!$C$4</f>
        <v>0</v>
      </c>
    </row>
    <row r="54" spans="1:20" x14ac:dyDescent="0.25">
      <c r="A54" s="83" t="s">
        <v>436</v>
      </c>
      <c r="B54" s="82" t="s">
        <v>809</v>
      </c>
      <c r="C54" s="82" t="s">
        <v>809</v>
      </c>
      <c r="D54" s="82">
        <v>2022</v>
      </c>
      <c r="E54" s="82">
        <v>247.99</v>
      </c>
      <c r="F54" s="82" t="s">
        <v>678</v>
      </c>
      <c r="G54" s="82" t="s">
        <v>184</v>
      </c>
      <c r="H54" s="84" t="s">
        <v>20</v>
      </c>
      <c r="I54" s="85"/>
      <c r="J54" s="85"/>
      <c r="K54" s="85"/>
      <c r="L54" s="85"/>
      <c r="M54" s="85"/>
      <c r="N54" s="85"/>
      <c r="O54" s="86">
        <f>L54*'PAG100 FE GE'!$E$2+M54*'PAG100 FE GE'!$E$3+N54*'PAG100 FE GE'!$E$4</f>
        <v>0</v>
      </c>
      <c r="P54" s="86">
        <f>L54*'PAG20 FE GE'!$E$2+M54*'PAG20 FE GE'!$E$3+N54*'PAG20 FE GE'!$E$4</f>
        <v>0</v>
      </c>
      <c r="Q54" s="86">
        <f>L54*'PAG100 FE GE'!$D$2+M54*'PAG100 FE GE'!$D$3+N54*'PAG100 FE GE'!$D$4</f>
        <v>0</v>
      </c>
      <c r="R54" s="86">
        <f>L54*'PAG20 FE GE'!$D$2+M54*'PAG20 FE GE'!$D$3+N54*'PAG20 FE GE'!$D$4</f>
        <v>0</v>
      </c>
      <c r="S54" s="86">
        <f>L54*'PAG100 FE GE'!$C$2+M54*'PAG100 FE GE'!$C$3+N54*'PAG100 FE GE'!$C$4</f>
        <v>0</v>
      </c>
      <c r="T54" s="86">
        <f>L54*'PAG20 FE GE'!$C$2+M54*'PAG20 FE GE'!$C$3+N54*'PAG20 FE GE'!$C$4</f>
        <v>0</v>
      </c>
    </row>
    <row r="55" spans="1:20" x14ac:dyDescent="0.25">
      <c r="A55" s="83" t="s">
        <v>436</v>
      </c>
      <c r="B55" s="82" t="s">
        <v>443</v>
      </c>
      <c r="C55" s="82" t="s">
        <v>443</v>
      </c>
      <c r="D55" s="82">
        <v>2022</v>
      </c>
      <c r="E55" s="82">
        <v>220.28</v>
      </c>
      <c r="F55" s="82" t="s">
        <v>678</v>
      </c>
      <c r="G55" s="82" t="s">
        <v>184</v>
      </c>
      <c r="H55" s="84" t="s">
        <v>20</v>
      </c>
      <c r="I55" s="85"/>
      <c r="J55" s="85"/>
      <c r="K55" s="85"/>
      <c r="L55" s="85"/>
      <c r="M55" s="85"/>
      <c r="N55" s="85"/>
      <c r="O55" s="86">
        <f>L55*'PAG100 FE GE'!$E$2+M55*'PAG100 FE GE'!$E$3+N55*'PAG100 FE GE'!$E$4</f>
        <v>0</v>
      </c>
      <c r="P55" s="86">
        <f>L55*'PAG20 FE GE'!$E$2+M55*'PAG20 FE GE'!$E$3+N55*'PAG20 FE GE'!$E$4</f>
        <v>0</v>
      </c>
      <c r="Q55" s="86">
        <f>L55*'PAG100 FE GE'!$D$2+M55*'PAG100 FE GE'!$D$3+N55*'PAG100 FE GE'!$D$4</f>
        <v>0</v>
      </c>
      <c r="R55" s="86">
        <f>L55*'PAG20 FE GE'!$D$2+M55*'PAG20 FE GE'!$D$3+N55*'PAG20 FE GE'!$D$4</f>
        <v>0</v>
      </c>
      <c r="S55" s="86">
        <f>L55*'PAG100 FE GE'!$C$2+M55*'PAG100 FE GE'!$C$3+N55*'PAG100 FE GE'!$C$4</f>
        <v>0</v>
      </c>
      <c r="T55" s="86">
        <f>L55*'PAG20 FE GE'!$C$2+M55*'PAG20 FE GE'!$C$3+N55*'PAG20 FE GE'!$C$4</f>
        <v>0</v>
      </c>
    </row>
    <row r="56" spans="1:20" x14ac:dyDescent="0.25">
      <c r="A56" s="83" t="s">
        <v>436</v>
      </c>
      <c r="B56" s="82" t="s">
        <v>443</v>
      </c>
      <c r="C56" s="82" t="s">
        <v>814</v>
      </c>
      <c r="D56" s="82">
        <v>2022</v>
      </c>
      <c r="E56" s="82">
        <v>0</v>
      </c>
      <c r="F56" s="82" t="s">
        <v>678</v>
      </c>
      <c r="G56" s="82" t="s">
        <v>184</v>
      </c>
      <c r="H56" s="84" t="s">
        <v>20</v>
      </c>
      <c r="I56" s="85"/>
      <c r="J56" s="85"/>
      <c r="K56" s="85"/>
      <c r="L56" s="85"/>
      <c r="M56" s="85"/>
      <c r="N56" s="85"/>
      <c r="O56" s="86">
        <f>L56*'PAG100 FE GE'!$E$2+M56*'PAG100 FE GE'!$E$3+N56*'PAG100 FE GE'!$E$4</f>
        <v>0</v>
      </c>
      <c r="P56" s="86">
        <f>L56*'PAG20 FE GE'!$E$2+M56*'PAG20 FE GE'!$E$3+N56*'PAG20 FE GE'!$E$4</f>
        <v>0</v>
      </c>
      <c r="Q56" s="86">
        <f>L56*'PAG100 FE GE'!$D$2+M56*'PAG100 FE GE'!$D$3+N56*'PAG100 FE GE'!$D$4</f>
        <v>0</v>
      </c>
      <c r="R56" s="86">
        <f>L56*'PAG20 FE GE'!$D$2+M56*'PAG20 FE GE'!$D$3+N56*'PAG20 FE GE'!$D$4</f>
        <v>0</v>
      </c>
      <c r="S56" s="86">
        <f>L56*'PAG100 FE GE'!$C$2+M56*'PAG100 FE GE'!$C$3+N56*'PAG100 FE GE'!$C$4</f>
        <v>0</v>
      </c>
      <c r="T56" s="86">
        <f>L56*'PAG20 FE GE'!$C$2+M56*'PAG20 FE GE'!$C$3+N56*'PAG20 FE GE'!$C$4</f>
        <v>0</v>
      </c>
    </row>
    <row r="57" spans="1:20" x14ac:dyDescent="0.25">
      <c r="A57" s="83" t="s">
        <v>436</v>
      </c>
      <c r="B57" s="82" t="s">
        <v>810</v>
      </c>
      <c r="C57" s="82" t="s">
        <v>811</v>
      </c>
      <c r="D57" s="82">
        <v>2023</v>
      </c>
      <c r="E57" s="82">
        <v>152.91999999999999</v>
      </c>
      <c r="F57" s="82" t="s">
        <v>678</v>
      </c>
      <c r="G57" s="82" t="s">
        <v>184</v>
      </c>
      <c r="H57" s="84" t="s">
        <v>20</v>
      </c>
      <c r="I57" s="85"/>
      <c r="J57" s="85"/>
      <c r="K57" s="85"/>
      <c r="L57" s="85"/>
      <c r="M57" s="85"/>
      <c r="N57" s="85"/>
      <c r="O57" s="86">
        <f>L57*'PAG100 FE GE'!$E$2+M57*'PAG100 FE GE'!$E$3+N57*'PAG100 FE GE'!$E$4</f>
        <v>0</v>
      </c>
      <c r="P57" s="86">
        <f>L57*'PAG20 FE GE'!$E$2+M57*'PAG20 FE GE'!$E$3+N57*'PAG20 FE GE'!$E$4</f>
        <v>0</v>
      </c>
      <c r="Q57" s="86">
        <f>L57*'PAG100 FE GE'!$D$2+M57*'PAG100 FE GE'!$D$3+N57*'PAG100 FE GE'!$D$4</f>
        <v>0</v>
      </c>
      <c r="R57" s="86">
        <f>L57*'PAG20 FE GE'!$D$2+M57*'PAG20 FE GE'!$D$3+N57*'PAG20 FE GE'!$D$4</f>
        <v>0</v>
      </c>
      <c r="S57" s="86">
        <f>L57*'PAG100 FE GE'!$C$2+M57*'PAG100 FE GE'!$C$3+N57*'PAG100 FE GE'!$C$4</f>
        <v>0</v>
      </c>
      <c r="T57" s="86">
        <f>L57*'PAG20 FE GE'!$C$2+M57*'PAG20 FE GE'!$C$3+N57*'PAG20 FE GE'!$C$4</f>
        <v>0</v>
      </c>
    </row>
    <row r="58" spans="1:20" x14ac:dyDescent="0.25">
      <c r="A58" s="83" t="s">
        <v>436</v>
      </c>
      <c r="B58" s="82" t="s">
        <v>810</v>
      </c>
      <c r="C58" s="82" t="s">
        <v>812</v>
      </c>
      <c r="D58" s="82">
        <v>2023</v>
      </c>
      <c r="E58" s="82">
        <v>0</v>
      </c>
      <c r="F58" s="82" t="s">
        <v>678</v>
      </c>
      <c r="G58" s="82" t="s">
        <v>184</v>
      </c>
      <c r="H58" s="84" t="s">
        <v>20</v>
      </c>
      <c r="I58" s="85"/>
      <c r="J58" s="85"/>
      <c r="K58" s="85"/>
      <c r="L58" s="85"/>
      <c r="M58" s="85"/>
      <c r="N58" s="85"/>
      <c r="O58" s="86">
        <f>L58*'PAG100 FE GE'!$E$2+M58*'PAG100 FE GE'!$E$3+N58*'PAG100 FE GE'!$E$4</f>
        <v>0</v>
      </c>
      <c r="P58" s="86">
        <f>L58*'PAG20 FE GE'!$E$2+M58*'PAG20 FE GE'!$E$3+N58*'PAG20 FE GE'!$E$4</f>
        <v>0</v>
      </c>
      <c r="Q58" s="86">
        <f>L58*'PAG100 FE GE'!$D$2+M58*'PAG100 FE GE'!$D$3+N58*'PAG100 FE GE'!$D$4</f>
        <v>0</v>
      </c>
      <c r="R58" s="86">
        <f>L58*'PAG20 FE GE'!$D$2+M58*'PAG20 FE GE'!$D$3+N58*'PAG20 FE GE'!$D$4</f>
        <v>0</v>
      </c>
      <c r="S58" s="86">
        <f>L58*'PAG100 FE GE'!$C$2+M58*'PAG100 FE GE'!$C$3+N58*'PAG100 FE GE'!$C$4</f>
        <v>0</v>
      </c>
      <c r="T58" s="86">
        <f>L58*'PAG20 FE GE'!$C$2+M58*'PAG20 FE GE'!$C$3+N58*'PAG20 FE GE'!$C$4</f>
        <v>0</v>
      </c>
    </row>
    <row r="59" spans="1:20" x14ac:dyDescent="0.25">
      <c r="A59" s="83" t="s">
        <v>436</v>
      </c>
      <c r="B59" s="82" t="s">
        <v>810</v>
      </c>
      <c r="C59" s="82" t="s">
        <v>813</v>
      </c>
      <c r="D59" s="82">
        <v>2023</v>
      </c>
      <c r="E59" s="82">
        <v>129.33000000000001</v>
      </c>
      <c r="F59" s="82" t="s">
        <v>678</v>
      </c>
      <c r="G59" s="82" t="s">
        <v>184</v>
      </c>
      <c r="H59" s="84" t="s">
        <v>20</v>
      </c>
      <c r="I59" s="85"/>
      <c r="J59" s="85"/>
      <c r="K59" s="85"/>
      <c r="L59" s="85"/>
      <c r="M59" s="85"/>
      <c r="N59" s="85"/>
      <c r="O59" s="86">
        <f>L59*'PAG100 FE GE'!$E$2+M59*'PAG100 FE GE'!$E$3+N59*'PAG100 FE GE'!$E$4</f>
        <v>0</v>
      </c>
      <c r="P59" s="86">
        <f>L59*'PAG20 FE GE'!$E$2+M59*'PAG20 FE GE'!$E$3+N59*'PAG20 FE GE'!$E$4</f>
        <v>0</v>
      </c>
      <c r="Q59" s="86">
        <f>L59*'PAG100 FE GE'!$D$2+M59*'PAG100 FE GE'!$D$3+N59*'PAG100 FE GE'!$D$4</f>
        <v>0</v>
      </c>
      <c r="R59" s="86">
        <f>L59*'PAG20 FE GE'!$D$2+M59*'PAG20 FE GE'!$D$3+N59*'PAG20 FE GE'!$D$4</f>
        <v>0</v>
      </c>
      <c r="S59" s="86">
        <f>L59*'PAG100 FE GE'!$C$2+M59*'PAG100 FE GE'!$C$3+N59*'PAG100 FE GE'!$C$4</f>
        <v>0</v>
      </c>
      <c r="T59" s="86">
        <f>L59*'PAG20 FE GE'!$C$2+M59*'PAG20 FE GE'!$C$3+N59*'PAG20 FE GE'!$C$4</f>
        <v>0</v>
      </c>
    </row>
    <row r="60" spans="1:20" x14ac:dyDescent="0.25">
      <c r="A60" s="83" t="s">
        <v>436</v>
      </c>
      <c r="B60" s="82" t="s">
        <v>810</v>
      </c>
      <c r="C60" s="82" t="s">
        <v>811</v>
      </c>
      <c r="D60" s="223">
        <v>2022</v>
      </c>
      <c r="E60" s="82">
        <v>152.91999999999999</v>
      </c>
      <c r="F60" s="82" t="s">
        <v>678</v>
      </c>
      <c r="G60" s="82" t="s">
        <v>184</v>
      </c>
      <c r="H60" s="84" t="s">
        <v>20</v>
      </c>
      <c r="I60" s="85"/>
      <c r="J60" s="85"/>
      <c r="K60" s="85"/>
      <c r="L60" s="85"/>
      <c r="M60" s="85"/>
      <c r="N60" s="85"/>
      <c r="O60" s="86">
        <f>L60*'PAG100 FE GE'!$E$2+M60*'PAG100 FE GE'!$E$3+N60*'PAG100 FE GE'!$E$4</f>
        <v>0</v>
      </c>
      <c r="P60" s="86">
        <f>L60*'PAG20 FE GE'!$E$2+M60*'PAG20 FE GE'!$E$3+N60*'PAG20 FE GE'!$E$4</f>
        <v>0</v>
      </c>
      <c r="Q60" s="86">
        <f>L60*'PAG100 FE GE'!$D$2+M60*'PAG100 FE GE'!$D$3+N60*'PAG100 FE GE'!$D$4</f>
        <v>0</v>
      </c>
      <c r="R60" s="86">
        <f>L60*'PAG20 FE GE'!$D$2+M60*'PAG20 FE GE'!$D$3+N60*'PAG20 FE GE'!$D$4</f>
        <v>0</v>
      </c>
      <c r="S60" s="86">
        <f>L60*'PAG100 FE GE'!$C$2+M60*'PAG100 FE GE'!$C$3+N60*'PAG100 FE GE'!$C$4</f>
        <v>0</v>
      </c>
      <c r="T60" s="86">
        <f>L60*'PAG20 FE GE'!$C$2+M60*'PAG20 FE GE'!$C$3+N60*'PAG20 FE GE'!$C$4</f>
        <v>0</v>
      </c>
    </row>
    <row r="61" spans="1:20" x14ac:dyDescent="0.25">
      <c r="A61" s="83" t="s">
        <v>436</v>
      </c>
      <c r="B61" s="82" t="s">
        <v>810</v>
      </c>
      <c r="C61" s="82" t="s">
        <v>812</v>
      </c>
      <c r="D61" s="223">
        <v>2022</v>
      </c>
      <c r="E61" s="82">
        <v>0</v>
      </c>
      <c r="F61" s="82" t="s">
        <v>678</v>
      </c>
      <c r="G61" s="82" t="s">
        <v>184</v>
      </c>
      <c r="H61" s="84" t="s">
        <v>20</v>
      </c>
      <c r="I61" s="85"/>
      <c r="J61" s="85"/>
      <c r="K61" s="85"/>
      <c r="L61" s="85"/>
      <c r="M61" s="85"/>
      <c r="N61" s="85"/>
      <c r="O61" s="86">
        <f>L61*'PAG100 FE GE'!$E$2+M61*'PAG100 FE GE'!$E$3+N61*'PAG100 FE GE'!$E$4</f>
        <v>0</v>
      </c>
      <c r="P61" s="86">
        <f>L61*'PAG20 FE GE'!$E$2+M61*'PAG20 FE GE'!$E$3+N61*'PAG20 FE GE'!$E$4</f>
        <v>0</v>
      </c>
      <c r="Q61" s="86">
        <f>L61*'PAG100 FE GE'!$D$2+M61*'PAG100 FE GE'!$D$3+N61*'PAG100 FE GE'!$D$4</f>
        <v>0</v>
      </c>
      <c r="R61" s="86">
        <f>L61*'PAG20 FE GE'!$D$2+M61*'PAG20 FE GE'!$D$3+N61*'PAG20 FE GE'!$D$4</f>
        <v>0</v>
      </c>
      <c r="S61" s="86">
        <f>L61*'PAG100 FE GE'!$C$2+M61*'PAG100 FE GE'!$C$3+N61*'PAG100 FE GE'!$C$4</f>
        <v>0</v>
      </c>
      <c r="T61" s="86">
        <f>L61*'PAG20 FE GE'!$C$2+M61*'PAG20 FE GE'!$C$3+N61*'PAG20 FE GE'!$C$4</f>
        <v>0</v>
      </c>
    </row>
    <row r="62" spans="1:20" x14ac:dyDescent="0.25">
      <c r="A62" s="83" t="s">
        <v>436</v>
      </c>
      <c r="B62" s="82" t="s">
        <v>810</v>
      </c>
      <c r="C62" s="82" t="s">
        <v>813</v>
      </c>
      <c r="D62" s="223">
        <v>2022</v>
      </c>
      <c r="E62" s="82">
        <v>129.33000000000001</v>
      </c>
      <c r="F62" s="82" t="s">
        <v>678</v>
      </c>
      <c r="G62" s="82" t="s">
        <v>184</v>
      </c>
      <c r="H62" s="84" t="s">
        <v>20</v>
      </c>
      <c r="I62" s="85"/>
      <c r="J62" s="85"/>
      <c r="K62" s="85"/>
      <c r="L62" s="85"/>
      <c r="M62" s="85"/>
      <c r="N62" s="85"/>
      <c r="O62" s="86">
        <f>L62*'PAG100 FE GE'!$E$2+M62*'PAG100 FE GE'!$E$3+N62*'PAG100 FE GE'!$E$4</f>
        <v>0</v>
      </c>
      <c r="P62" s="86">
        <f>L62*'PAG20 FE GE'!$E$2+M62*'PAG20 FE GE'!$E$3+N62*'PAG20 FE GE'!$E$4</f>
        <v>0</v>
      </c>
      <c r="Q62" s="86">
        <f>L62*'PAG100 FE GE'!$D$2+M62*'PAG100 FE GE'!$D$3+N62*'PAG100 FE GE'!$D$4</f>
        <v>0</v>
      </c>
      <c r="R62" s="86">
        <f>L62*'PAG20 FE GE'!$D$2+M62*'PAG20 FE GE'!$D$3+N62*'PAG20 FE GE'!$D$4</f>
        <v>0</v>
      </c>
      <c r="S62" s="86">
        <f>L62*'PAG100 FE GE'!$C$2+M62*'PAG100 FE GE'!$C$3+N62*'PAG100 FE GE'!$C$4</f>
        <v>0</v>
      </c>
      <c r="T62" s="86">
        <f>L62*'PAG20 FE GE'!$C$2+M62*'PAG20 FE GE'!$C$3+N62*'PAG20 FE GE'!$C$4</f>
        <v>0</v>
      </c>
    </row>
    <row r="63" spans="1:20" x14ac:dyDescent="0.25">
      <c r="A63" s="83" t="s">
        <v>436</v>
      </c>
      <c r="B63" s="82" t="s">
        <v>1316</v>
      </c>
      <c r="C63" s="82" t="s">
        <v>1316</v>
      </c>
      <c r="D63" s="223">
        <v>2022</v>
      </c>
      <c r="E63" s="82">
        <f>E60/3+E55/3+E64/3</f>
        <v>173.87333333333333</v>
      </c>
      <c r="F63" s="82" t="s">
        <v>678</v>
      </c>
      <c r="G63" s="82" t="s">
        <v>184</v>
      </c>
      <c r="H63" s="84" t="s">
        <v>20</v>
      </c>
      <c r="I63" s="85"/>
      <c r="J63" s="85"/>
      <c r="K63" s="85"/>
      <c r="L63" s="85"/>
      <c r="M63" s="85"/>
      <c r="N63" s="85"/>
      <c r="O63" s="86">
        <f>L63*'PAG100 FE GE'!$E$2+M63*'PAG100 FE GE'!$E$3+N63*'PAG100 FE GE'!$E$4</f>
        <v>0</v>
      </c>
      <c r="P63" s="86">
        <f>L63*'PAG20 FE GE'!$E$2+M63*'PAG20 FE GE'!$E$3+N63*'PAG20 FE GE'!$E$4</f>
        <v>0</v>
      </c>
      <c r="Q63" s="86">
        <f>L63*'PAG100 FE GE'!$D$2+M63*'PAG100 FE GE'!$D$3+N63*'PAG100 FE GE'!$D$4</f>
        <v>0</v>
      </c>
      <c r="R63" s="86">
        <f>L63*'PAG20 FE GE'!$D$2+M63*'PAG20 FE GE'!$D$3+N63*'PAG20 FE GE'!$D$4</f>
        <v>0</v>
      </c>
      <c r="S63" s="86">
        <f>L63*'PAG100 FE GE'!$C$2+M63*'PAG100 FE GE'!$C$3+N63*'PAG100 FE GE'!$C$4</f>
        <v>0</v>
      </c>
      <c r="T63" s="86">
        <f>L63*'PAG20 FE GE'!$C$2+M63*'PAG20 FE GE'!$C$3+N63*'PAG20 FE GE'!$C$4</f>
        <v>0</v>
      </c>
    </row>
    <row r="64" spans="1:20" x14ac:dyDescent="0.25">
      <c r="A64" s="83" t="s">
        <v>436</v>
      </c>
      <c r="B64" s="82" t="s">
        <v>1317</v>
      </c>
      <c r="C64" s="82" t="s">
        <v>1317</v>
      </c>
      <c r="D64" s="223">
        <v>2024</v>
      </c>
      <c r="E64" s="82">
        <v>148.41999999999999</v>
      </c>
      <c r="F64" s="82" t="s">
        <v>678</v>
      </c>
      <c r="G64" s="82" t="s">
        <v>184</v>
      </c>
      <c r="H64" s="84" t="s">
        <v>20</v>
      </c>
      <c r="I64" s="85"/>
      <c r="J64" s="85"/>
      <c r="K64" s="85"/>
      <c r="L64" s="85"/>
      <c r="M64" s="85"/>
      <c r="N64" s="85"/>
      <c r="O64" s="86">
        <f>L64*'PAG100 FE GE'!$E$2+M64*'PAG100 FE GE'!$E$3+N64*'PAG100 FE GE'!$E$4</f>
        <v>0</v>
      </c>
      <c r="P64" s="86">
        <f>L64*'PAG20 FE GE'!$E$2+M64*'PAG20 FE GE'!$E$3+N64*'PAG20 FE GE'!$E$4</f>
        <v>0</v>
      </c>
      <c r="Q64" s="86">
        <f>L64*'PAG100 FE GE'!$D$2+M64*'PAG100 FE GE'!$D$3+N64*'PAG100 FE GE'!$D$4</f>
        <v>0</v>
      </c>
      <c r="R64" s="86">
        <f>L64*'PAG20 FE GE'!$D$2+M64*'PAG20 FE GE'!$D$3+N64*'PAG20 FE GE'!$D$4</f>
        <v>0</v>
      </c>
      <c r="S64" s="86">
        <f>L64*'PAG100 FE GE'!$C$2+M64*'PAG100 FE GE'!$C$3+N64*'PAG100 FE GE'!$C$4</f>
        <v>0</v>
      </c>
      <c r="T64" s="86">
        <f>L64*'PAG20 FE GE'!$C$2+M64*'PAG20 FE GE'!$C$3+N64*'PAG20 FE GE'!$C$4</f>
        <v>0</v>
      </c>
    </row>
  </sheetData>
  <pageMargins left="0.7" right="0.7" top="0.75" bottom="0.75" header="0.3" footer="0.3"/>
  <customProperties>
    <customPr name="GUID" r:id="rId1"/>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7"/>
  <dimension ref="A1:V80"/>
  <sheetViews>
    <sheetView zoomScale="70" zoomScaleNormal="70" workbookViewId="0">
      <selection activeCell="U25" sqref="U2:U25"/>
    </sheetView>
  </sheetViews>
  <sheetFormatPr defaultRowHeight="15" x14ac:dyDescent="0.25"/>
  <cols>
    <col min="1" max="5" width="19.28515625" style="8" customWidth="1"/>
    <col min="6" max="6" width="68" style="154" customWidth="1"/>
    <col min="7" max="7" width="9.140625" style="8"/>
    <col min="8" max="8" width="9.140625" style="154"/>
    <col min="9" max="9" width="14.7109375" style="8" bestFit="1" customWidth="1"/>
    <col min="10" max="10" width="27.85546875" style="20" customWidth="1"/>
    <col min="11" max="11" width="14.42578125" style="10" customWidth="1"/>
    <col min="12" max="14" width="11" style="207" customWidth="1"/>
    <col min="15" max="20" width="16.42578125" style="10" customWidth="1"/>
    <col min="21" max="21" width="20.140625" style="10" bestFit="1" customWidth="1"/>
    <col min="22" max="22" width="13.85546875" style="10" customWidth="1"/>
  </cols>
  <sheetData>
    <row r="1" spans="1:22" ht="48" customHeight="1" thickBot="1" x14ac:dyDescent="0.3">
      <c r="A1" s="10" t="s">
        <v>444</v>
      </c>
      <c r="B1" s="10" t="s">
        <v>445</v>
      </c>
      <c r="C1" s="10" t="s">
        <v>415</v>
      </c>
      <c r="D1" s="10" t="s">
        <v>685</v>
      </c>
      <c r="E1" s="8" t="s">
        <v>794</v>
      </c>
      <c r="F1" s="154" t="s">
        <v>683</v>
      </c>
      <c r="G1" s="10" t="s">
        <v>446</v>
      </c>
      <c r="H1" s="153" t="s">
        <v>765</v>
      </c>
      <c r="I1" s="10" t="s">
        <v>124</v>
      </c>
      <c r="J1" s="20" t="s">
        <v>456</v>
      </c>
      <c r="K1" s="10" t="s">
        <v>451</v>
      </c>
      <c r="L1" s="207" t="s">
        <v>457</v>
      </c>
      <c r="M1" s="207" t="s">
        <v>458</v>
      </c>
      <c r="N1" s="207" t="s">
        <v>459</v>
      </c>
      <c r="O1" s="73" t="s">
        <v>64</v>
      </c>
      <c r="P1" s="73" t="s">
        <v>63</v>
      </c>
      <c r="Q1" s="73" t="s">
        <v>61</v>
      </c>
      <c r="R1" s="73" t="s">
        <v>65</v>
      </c>
      <c r="S1" s="73" t="s">
        <v>62</v>
      </c>
      <c r="T1" s="73" t="s">
        <v>65</v>
      </c>
      <c r="U1" s="10" t="s">
        <v>460</v>
      </c>
      <c r="V1" s="10" t="s">
        <v>91</v>
      </c>
    </row>
    <row r="2" spans="1:22" x14ac:dyDescent="0.25">
      <c r="A2" s="8" t="s">
        <v>684</v>
      </c>
      <c r="B2" s="8" t="s">
        <v>452</v>
      </c>
      <c r="C2" s="8" t="s">
        <v>448</v>
      </c>
      <c r="D2" s="8" t="s">
        <v>208</v>
      </c>
      <c r="E2" s="8">
        <v>2022</v>
      </c>
      <c r="F2" s="154" t="str">
        <f t="shared" ref="F2:F33" si="0">IF(A2="Eléctrica",C2&amp;": "&amp;A2&amp;": "&amp;B2&amp;": "&amp;D2&amp;": "&amp;E2&amp;":: "&amp;I2,
C2&amp;": "&amp;A2&amp;": "&amp;B2&amp;": "&amp;E2&amp;":: "&amp;I2)</f>
        <v>AIE: Eléctrica: Perdas Rede SEN: Portugal: 2022:: kWh</v>
      </c>
      <c r="G2" s="88">
        <v>8.1000000000000003E-2</v>
      </c>
      <c r="H2" s="206" t="s">
        <v>678</v>
      </c>
      <c r="I2" s="89" t="s">
        <v>184</v>
      </c>
      <c r="J2" s="20">
        <f>G2*'FE Produção Eletricidade'!E2</f>
        <v>14.013</v>
      </c>
      <c r="K2" s="87" t="s">
        <v>20</v>
      </c>
      <c r="L2" s="224"/>
      <c r="M2" s="224"/>
      <c r="N2" s="224"/>
      <c r="O2" s="86">
        <f>L2*'PAG100 FE GE'!$E$2+M2*'PAG100 FE GE'!$E$3+N2*'PAG100 FE GE'!$E$4</f>
        <v>0</v>
      </c>
      <c r="P2" s="86">
        <f>L2*'PAG20 FE GE'!$E$2+M2*'PAG20 FE GE'!$E$3+N2*'PAG20 FE GE'!$E$4</f>
        <v>0</v>
      </c>
      <c r="Q2" s="86">
        <f>L2*'PAG100 FE GE'!$D$2+M2*'PAG100 FE GE'!$D$3+N2*'PAG100 FE GE'!$D$4</f>
        <v>0</v>
      </c>
      <c r="R2" s="86">
        <f>L2*'PAG20 FE GE'!$D$2+M2*'PAG20 FE GE'!$D$3+N2*'PAG20 FE GE'!$D$4</f>
        <v>0</v>
      </c>
      <c r="S2" s="86">
        <f>L2*'PAG100 FE GE'!$C$2+M2*'PAG100 FE GE'!$C$3+N2*'PAG100 FE GE'!$C$4</f>
        <v>0</v>
      </c>
      <c r="T2" s="86">
        <f>L2*'PAG20 FE GE'!$C$2+M2*'PAG20 FE GE'!$C$3+N2*'PAG20 FE GE'!$C$4</f>
        <v>0</v>
      </c>
      <c r="U2" s="226">
        <f>G2</f>
        <v>8.1000000000000003E-2</v>
      </c>
      <c r="V2" s="10" t="s">
        <v>450</v>
      </c>
    </row>
    <row r="3" spans="1:22" x14ac:dyDescent="0.25">
      <c r="A3" s="154" t="s">
        <v>684</v>
      </c>
      <c r="B3" s="8" t="s">
        <v>452</v>
      </c>
      <c r="C3" s="8" t="s">
        <v>448</v>
      </c>
      <c r="D3" s="8" t="s">
        <v>208</v>
      </c>
      <c r="E3" s="8">
        <v>2021</v>
      </c>
      <c r="F3" s="154" t="str">
        <f t="shared" si="0"/>
        <v>AIE: Eléctrica: Perdas Rede SEN: Portugal: 2021:: kWh</v>
      </c>
      <c r="G3" s="89">
        <v>8.1000000000000003E-2</v>
      </c>
      <c r="H3" s="206" t="s">
        <v>678</v>
      </c>
      <c r="I3" s="89" t="s">
        <v>184</v>
      </c>
      <c r="J3" s="20">
        <f>G3*'FE Produção Eletricidade'!E3</f>
        <v>13.77</v>
      </c>
      <c r="K3" s="87" t="s">
        <v>20</v>
      </c>
      <c r="L3" s="224"/>
      <c r="M3" s="224"/>
      <c r="N3" s="224"/>
      <c r="O3" s="86">
        <f>L3*'PAG100 FE GE'!$E$2+M3*'PAG100 FE GE'!$E$3+N3*'PAG100 FE GE'!$E$4</f>
        <v>0</v>
      </c>
      <c r="P3" s="86">
        <f>L3*'PAG20 FE GE'!$E$2+M3*'PAG20 FE GE'!$E$3+N3*'PAG20 FE GE'!$E$4</f>
        <v>0</v>
      </c>
      <c r="Q3" s="86">
        <f>L3*'PAG100 FE GE'!$D$2+M3*'PAG100 FE GE'!$D$3+N3*'PAG100 FE GE'!$D$4</f>
        <v>0</v>
      </c>
      <c r="R3" s="86">
        <f>L3*'PAG20 FE GE'!$D$2+M3*'PAG20 FE GE'!$D$3+N3*'PAG20 FE GE'!$D$4</f>
        <v>0</v>
      </c>
      <c r="S3" s="86">
        <f>L3*'PAG100 FE GE'!$C$2+M3*'PAG100 FE GE'!$C$3+N3*'PAG100 FE GE'!$C$4</f>
        <v>0</v>
      </c>
      <c r="T3" s="86">
        <f>L3*'PAG20 FE GE'!$C$2+M3*'PAG20 FE GE'!$C$3+N3*'PAG20 FE GE'!$C$4</f>
        <v>0</v>
      </c>
      <c r="U3" s="226">
        <f t="shared" ref="U3:U25" si="1">G3</f>
        <v>8.1000000000000003E-2</v>
      </c>
      <c r="V3" s="10" t="s">
        <v>450</v>
      </c>
    </row>
    <row r="4" spans="1:22" x14ac:dyDescent="0.25">
      <c r="A4" s="154" t="s">
        <v>684</v>
      </c>
      <c r="B4" s="8" t="s">
        <v>452</v>
      </c>
      <c r="C4" s="8" t="s">
        <v>449</v>
      </c>
      <c r="D4" s="8" t="s">
        <v>208</v>
      </c>
      <c r="E4" s="8">
        <v>2020</v>
      </c>
      <c r="F4" s="154" t="str">
        <f t="shared" si="0"/>
        <v>Observatório de Energia: Eléctrica: Perdas Rede SEN: Portugal: 2020:: kWh</v>
      </c>
      <c r="G4" s="89">
        <v>9.4700000000000006E-2</v>
      </c>
      <c r="H4" s="206" t="s">
        <v>678</v>
      </c>
      <c r="I4" s="89" t="s">
        <v>184</v>
      </c>
      <c r="J4" s="20">
        <f>G4*'FE Produção Eletricidade'!E4</f>
        <v>19.2241</v>
      </c>
      <c r="K4" s="87" t="s">
        <v>20</v>
      </c>
      <c r="L4" s="224"/>
      <c r="M4" s="224"/>
      <c r="N4" s="224"/>
      <c r="O4" s="86">
        <f>L4*'PAG100 FE GE'!$E$2+M4*'PAG100 FE GE'!$E$3+N4*'PAG100 FE GE'!$E$4</f>
        <v>0</v>
      </c>
      <c r="P4" s="86">
        <f>L4*'PAG20 FE GE'!$E$2+M4*'PAG20 FE GE'!$E$3+N4*'PAG20 FE GE'!$E$4</f>
        <v>0</v>
      </c>
      <c r="Q4" s="86">
        <f>L4*'PAG100 FE GE'!$D$2+M4*'PAG100 FE GE'!$D$3+N4*'PAG100 FE GE'!$D$4</f>
        <v>0</v>
      </c>
      <c r="R4" s="86">
        <f>L4*'PAG20 FE GE'!$D$2+M4*'PAG20 FE GE'!$D$3+N4*'PAG20 FE GE'!$D$4</f>
        <v>0</v>
      </c>
      <c r="S4" s="86">
        <f>L4*'PAG100 FE GE'!$C$2+M4*'PAG100 FE GE'!$C$3+N4*'PAG100 FE GE'!$C$4</f>
        <v>0</v>
      </c>
      <c r="T4" s="86">
        <f>L4*'PAG20 FE GE'!$C$2+M4*'PAG20 FE GE'!$C$3+N4*'PAG20 FE GE'!$C$4</f>
        <v>0</v>
      </c>
      <c r="U4" s="226">
        <f t="shared" si="1"/>
        <v>9.4700000000000006E-2</v>
      </c>
      <c r="V4" s="10" t="s">
        <v>450</v>
      </c>
    </row>
    <row r="5" spans="1:22" x14ac:dyDescent="0.25">
      <c r="A5" s="154" t="s">
        <v>684</v>
      </c>
      <c r="B5" s="8" t="s">
        <v>452</v>
      </c>
      <c r="C5" s="8" t="s">
        <v>447</v>
      </c>
      <c r="D5" s="8" t="s">
        <v>208</v>
      </c>
      <c r="E5" s="8">
        <v>2015</v>
      </c>
      <c r="F5" s="154" t="str">
        <f t="shared" si="0"/>
        <v>ERSE: Eléctrica: Perdas Rede SEN: Portugal: 2015:: kWh</v>
      </c>
      <c r="G5" s="89">
        <v>9.8000000000000004E-2</v>
      </c>
      <c r="H5" s="206" t="s">
        <v>678</v>
      </c>
      <c r="I5" s="89" t="s">
        <v>184</v>
      </c>
      <c r="J5" s="20">
        <f>G5*'FE Produção Eletricidade'!E5</f>
        <v>24.891999999999999</v>
      </c>
      <c r="K5" s="87" t="s">
        <v>20</v>
      </c>
      <c r="L5" s="224"/>
      <c r="M5" s="224"/>
      <c r="N5" s="224"/>
      <c r="O5" s="86">
        <f>L5*'PAG100 FE GE'!$E$2+M5*'PAG100 FE GE'!$E$3+N5*'PAG100 FE GE'!$E$4</f>
        <v>0</v>
      </c>
      <c r="P5" s="86">
        <f>L5*'PAG20 FE GE'!$E$2+M5*'PAG20 FE GE'!$E$3+N5*'PAG20 FE GE'!$E$4</f>
        <v>0</v>
      </c>
      <c r="Q5" s="86">
        <f>L5*'PAG100 FE GE'!$D$2+M5*'PAG100 FE GE'!$D$3+N5*'PAG100 FE GE'!$D$4</f>
        <v>0</v>
      </c>
      <c r="R5" s="86">
        <f>L5*'PAG20 FE GE'!$D$2+M5*'PAG20 FE GE'!$D$3+N5*'PAG20 FE GE'!$D$4</f>
        <v>0</v>
      </c>
      <c r="S5" s="86">
        <f>L5*'PAG100 FE GE'!$C$2+M5*'PAG100 FE GE'!$C$3+N5*'PAG100 FE GE'!$C$4</f>
        <v>0</v>
      </c>
      <c r="T5" s="86">
        <f>L5*'PAG20 FE GE'!$C$2+M5*'PAG20 FE GE'!$C$3+N5*'PAG20 FE GE'!$C$4</f>
        <v>0</v>
      </c>
      <c r="U5" s="226">
        <f t="shared" si="1"/>
        <v>9.8000000000000004E-2</v>
      </c>
    </row>
    <row r="6" spans="1:22" x14ac:dyDescent="0.25">
      <c r="A6" s="154" t="s">
        <v>684</v>
      </c>
      <c r="B6" s="8" t="s">
        <v>452</v>
      </c>
      <c r="C6" s="8" t="s">
        <v>447</v>
      </c>
      <c r="D6" s="8" t="s">
        <v>208</v>
      </c>
      <c r="E6" s="8">
        <v>2014</v>
      </c>
      <c r="F6" s="154" t="str">
        <f t="shared" si="0"/>
        <v>ERSE: Eléctrica: Perdas Rede SEN: Portugal: 2014:: kWh</v>
      </c>
      <c r="G6" s="89">
        <v>0.10299999999999999</v>
      </c>
      <c r="H6" s="206" t="s">
        <v>678</v>
      </c>
      <c r="I6" s="89" t="s">
        <v>184</v>
      </c>
      <c r="J6" s="20">
        <f>G6*'FE Produção Eletricidade'!E6</f>
        <v>31.826999999999998</v>
      </c>
      <c r="K6" s="87" t="s">
        <v>20</v>
      </c>
      <c r="L6" s="224"/>
      <c r="M6" s="224"/>
      <c r="N6" s="224"/>
      <c r="O6" s="86">
        <f>L6*'PAG100 FE GE'!$E$2+M6*'PAG100 FE GE'!$E$3+N6*'PAG100 FE GE'!$E$4</f>
        <v>0</v>
      </c>
      <c r="P6" s="86">
        <f>L6*'PAG20 FE GE'!$E$2+M6*'PAG20 FE GE'!$E$3+N6*'PAG20 FE GE'!$E$4</f>
        <v>0</v>
      </c>
      <c r="Q6" s="86">
        <f>L6*'PAG100 FE GE'!$D$2+M6*'PAG100 FE GE'!$D$3+N6*'PAG100 FE GE'!$D$4</f>
        <v>0</v>
      </c>
      <c r="R6" s="86">
        <f>L6*'PAG20 FE GE'!$D$2+M6*'PAG20 FE GE'!$D$3+N6*'PAG20 FE GE'!$D$4</f>
        <v>0</v>
      </c>
      <c r="S6" s="86">
        <f>L6*'PAG100 FE GE'!$C$2+M6*'PAG100 FE GE'!$C$3+N6*'PAG100 FE GE'!$C$4</f>
        <v>0</v>
      </c>
      <c r="T6" s="86">
        <f>L6*'PAG20 FE GE'!$C$2+M6*'PAG20 FE GE'!$C$3+N6*'PAG20 FE GE'!$C$4</f>
        <v>0</v>
      </c>
      <c r="U6" s="226">
        <f t="shared" si="1"/>
        <v>0.10299999999999999</v>
      </c>
    </row>
    <row r="7" spans="1:22" x14ac:dyDescent="0.25">
      <c r="A7" s="154" t="s">
        <v>684</v>
      </c>
      <c r="B7" s="8" t="s">
        <v>452</v>
      </c>
      <c r="C7" s="8" t="s">
        <v>447</v>
      </c>
      <c r="D7" s="8" t="s">
        <v>208</v>
      </c>
      <c r="E7" s="8">
        <v>2013</v>
      </c>
      <c r="F7" s="154" t="str">
        <f t="shared" si="0"/>
        <v>ERSE: Eléctrica: Perdas Rede SEN: Portugal: 2013:: kWh</v>
      </c>
      <c r="G7" s="89">
        <v>0.112</v>
      </c>
      <c r="H7" s="206" t="s">
        <v>678</v>
      </c>
      <c r="I7" s="89" t="s">
        <v>184</v>
      </c>
      <c r="J7" s="20">
        <f>G7*'FE Produção Eletricidade'!E7</f>
        <v>40.544000000000004</v>
      </c>
      <c r="K7" s="87" t="s">
        <v>20</v>
      </c>
      <c r="L7" s="224"/>
      <c r="M7" s="224"/>
      <c r="N7" s="224"/>
      <c r="O7" s="86">
        <f>L7*'PAG100 FE GE'!$E$2+M7*'PAG100 FE GE'!$E$3+N7*'PAG100 FE GE'!$E$4</f>
        <v>0</v>
      </c>
      <c r="P7" s="86">
        <f>L7*'PAG20 FE GE'!$E$2+M7*'PAG20 FE GE'!$E$3+N7*'PAG20 FE GE'!$E$4</f>
        <v>0</v>
      </c>
      <c r="Q7" s="86">
        <f>L7*'PAG100 FE GE'!$D$2+M7*'PAG100 FE GE'!$D$3+N7*'PAG100 FE GE'!$D$4</f>
        <v>0</v>
      </c>
      <c r="R7" s="86">
        <f>L7*'PAG20 FE GE'!$D$2+M7*'PAG20 FE GE'!$D$3+N7*'PAG20 FE GE'!$D$4</f>
        <v>0</v>
      </c>
      <c r="S7" s="86">
        <f>L7*'PAG100 FE GE'!$C$2+M7*'PAG100 FE GE'!$C$3+N7*'PAG100 FE GE'!$C$4</f>
        <v>0</v>
      </c>
      <c r="T7" s="86">
        <f>L7*'PAG20 FE GE'!$C$2+M7*'PAG20 FE GE'!$C$3+N7*'PAG20 FE GE'!$C$4</f>
        <v>0</v>
      </c>
      <c r="U7" s="226">
        <f t="shared" si="1"/>
        <v>0.112</v>
      </c>
    </row>
    <row r="8" spans="1:22" x14ac:dyDescent="0.25">
      <c r="A8" s="154" t="s">
        <v>684</v>
      </c>
      <c r="B8" s="8" t="s">
        <v>452</v>
      </c>
      <c r="C8" s="8" t="s">
        <v>447</v>
      </c>
      <c r="D8" s="8" t="s">
        <v>208</v>
      </c>
      <c r="E8" s="8">
        <v>2012</v>
      </c>
      <c r="F8" s="154" t="str">
        <f t="shared" si="0"/>
        <v>ERSE: Eléctrica: Perdas Rede SEN: Portugal: 2012:: kWh</v>
      </c>
      <c r="G8" s="89">
        <v>9.0999999999999998E-2</v>
      </c>
      <c r="H8" s="206" t="s">
        <v>678</v>
      </c>
      <c r="I8" s="89" t="s">
        <v>184</v>
      </c>
      <c r="J8" s="20">
        <f>G8*'FE Produção Eletricidade'!E8</f>
        <v>26.844999999999999</v>
      </c>
      <c r="K8" s="87" t="s">
        <v>20</v>
      </c>
      <c r="L8" s="224"/>
      <c r="M8" s="224"/>
      <c r="N8" s="224"/>
      <c r="O8" s="86">
        <f>L8*'PAG100 FE GE'!$E$2+M8*'PAG100 FE GE'!$E$3+N8*'PAG100 FE GE'!$E$4</f>
        <v>0</v>
      </c>
      <c r="P8" s="86">
        <f>L8*'PAG20 FE GE'!$E$2+M8*'PAG20 FE GE'!$E$3+N8*'PAG20 FE GE'!$E$4</f>
        <v>0</v>
      </c>
      <c r="Q8" s="86">
        <f>L8*'PAG100 FE GE'!$D$2+M8*'PAG100 FE GE'!$D$3+N8*'PAG100 FE GE'!$D$4</f>
        <v>0</v>
      </c>
      <c r="R8" s="86">
        <f>L8*'PAG20 FE GE'!$D$2+M8*'PAG20 FE GE'!$D$3+N8*'PAG20 FE GE'!$D$4</f>
        <v>0</v>
      </c>
      <c r="S8" s="86">
        <f>L8*'PAG100 FE GE'!$C$2+M8*'PAG100 FE GE'!$C$3+N8*'PAG100 FE GE'!$C$4</f>
        <v>0</v>
      </c>
      <c r="T8" s="86">
        <f>L8*'PAG20 FE GE'!$C$2+M8*'PAG20 FE GE'!$C$3+N8*'PAG20 FE GE'!$C$4</f>
        <v>0</v>
      </c>
      <c r="U8" s="226">
        <f t="shared" si="1"/>
        <v>9.0999999999999998E-2</v>
      </c>
    </row>
    <row r="9" spans="1:22" x14ac:dyDescent="0.25">
      <c r="A9" s="154" t="s">
        <v>684</v>
      </c>
      <c r="B9" s="8" t="s">
        <v>452</v>
      </c>
      <c r="C9" s="8" t="s">
        <v>447</v>
      </c>
      <c r="D9" s="8" t="s">
        <v>208</v>
      </c>
      <c r="E9" s="8">
        <v>2011</v>
      </c>
      <c r="F9" s="154" t="str">
        <f t="shared" si="0"/>
        <v>ERSE: Eléctrica: Perdas Rede SEN: Portugal: 2011:: kWh</v>
      </c>
      <c r="G9" s="89">
        <v>7.6999999999999999E-2</v>
      </c>
      <c r="H9" s="206" t="s">
        <v>678</v>
      </c>
      <c r="I9" s="89" t="s">
        <v>184</v>
      </c>
      <c r="J9" s="20">
        <f>G9*'FE Produção Eletricidade'!E9</f>
        <v>28.027999999999999</v>
      </c>
      <c r="K9" s="87" t="s">
        <v>20</v>
      </c>
      <c r="L9" s="224"/>
      <c r="M9" s="224"/>
      <c r="N9" s="224"/>
      <c r="O9" s="86">
        <f>L9*'PAG100 FE GE'!$E$2+M9*'PAG100 FE GE'!$E$3+N9*'PAG100 FE GE'!$E$4</f>
        <v>0</v>
      </c>
      <c r="P9" s="86">
        <f>L9*'PAG20 FE GE'!$E$2+M9*'PAG20 FE GE'!$E$3+N9*'PAG20 FE GE'!$E$4</f>
        <v>0</v>
      </c>
      <c r="Q9" s="86">
        <f>L9*'PAG100 FE GE'!$D$2+M9*'PAG100 FE GE'!$D$3+N9*'PAG100 FE GE'!$D$4</f>
        <v>0</v>
      </c>
      <c r="R9" s="86">
        <f>L9*'PAG20 FE GE'!$D$2+M9*'PAG20 FE GE'!$D$3+N9*'PAG20 FE GE'!$D$4</f>
        <v>0</v>
      </c>
      <c r="S9" s="86">
        <f>L9*'PAG100 FE GE'!$C$2+M9*'PAG100 FE GE'!$C$3+N9*'PAG100 FE GE'!$C$4</f>
        <v>0</v>
      </c>
      <c r="T9" s="86">
        <f>L9*'PAG20 FE GE'!$C$2+M9*'PAG20 FE GE'!$C$3+N9*'PAG20 FE GE'!$C$4</f>
        <v>0</v>
      </c>
      <c r="U9" s="226">
        <f t="shared" si="1"/>
        <v>7.6999999999999999E-2</v>
      </c>
    </row>
    <row r="10" spans="1:22" x14ac:dyDescent="0.25">
      <c r="A10" s="154" t="s">
        <v>684</v>
      </c>
      <c r="B10" s="8" t="s">
        <v>452</v>
      </c>
      <c r="C10" s="8" t="s">
        <v>447</v>
      </c>
      <c r="D10" s="8" t="s">
        <v>208</v>
      </c>
      <c r="E10" s="8">
        <v>2010</v>
      </c>
      <c r="F10" s="154" t="str">
        <f t="shared" si="0"/>
        <v>ERSE: Eléctrica: Perdas Rede SEN: Portugal: 2010:: kWh</v>
      </c>
      <c r="G10" s="89">
        <v>8.2000000000000003E-2</v>
      </c>
      <c r="H10" s="206" t="s">
        <v>678</v>
      </c>
      <c r="I10" s="89" t="s">
        <v>184</v>
      </c>
      <c r="J10" s="20">
        <f>G10*'FE Produção Eletricidade'!E10</f>
        <v>24.518000000000001</v>
      </c>
      <c r="K10" s="87" t="s">
        <v>20</v>
      </c>
      <c r="L10" s="224"/>
      <c r="M10" s="224"/>
      <c r="N10" s="224"/>
      <c r="O10" s="86">
        <f>L10*'PAG100 FE GE'!$E$2+M10*'PAG100 FE GE'!$E$3+N10*'PAG100 FE GE'!$E$4</f>
        <v>0</v>
      </c>
      <c r="P10" s="86">
        <f>L10*'PAG20 FE GE'!$E$2+M10*'PAG20 FE GE'!$E$3+N10*'PAG20 FE GE'!$E$4</f>
        <v>0</v>
      </c>
      <c r="Q10" s="86">
        <f>L10*'PAG100 FE GE'!$D$2+M10*'PAG100 FE GE'!$D$3+N10*'PAG100 FE GE'!$D$4</f>
        <v>0</v>
      </c>
      <c r="R10" s="86">
        <f>L10*'PAG20 FE GE'!$D$2+M10*'PAG20 FE GE'!$D$3+N10*'PAG20 FE GE'!$D$4</f>
        <v>0</v>
      </c>
      <c r="S10" s="86">
        <f>L10*'PAG100 FE GE'!$C$2+M10*'PAG100 FE GE'!$C$3+N10*'PAG100 FE GE'!$C$4</f>
        <v>0</v>
      </c>
      <c r="T10" s="86">
        <f>L10*'PAG20 FE GE'!$C$2+M10*'PAG20 FE GE'!$C$3+N10*'PAG20 FE GE'!$C$4</f>
        <v>0</v>
      </c>
      <c r="U10" s="226">
        <f t="shared" si="1"/>
        <v>8.2000000000000003E-2</v>
      </c>
    </row>
    <row r="11" spans="1:22" x14ac:dyDescent="0.25">
      <c r="A11" s="154" t="s">
        <v>684</v>
      </c>
      <c r="B11" s="8" t="s">
        <v>452</v>
      </c>
      <c r="C11" s="8" t="s">
        <v>447</v>
      </c>
      <c r="D11" s="8" t="s">
        <v>208</v>
      </c>
      <c r="E11" s="8">
        <v>2009</v>
      </c>
      <c r="F11" s="154" t="str">
        <f t="shared" si="0"/>
        <v>ERSE: Eléctrica: Perdas Rede SEN: Portugal: 2009:: kWh</v>
      </c>
      <c r="G11" s="89">
        <v>7.2999999999999995E-2</v>
      </c>
      <c r="H11" s="206" t="s">
        <v>678</v>
      </c>
      <c r="I11" s="89" t="s">
        <v>184</v>
      </c>
      <c r="J11" s="20">
        <f>G11*'FE Produção Eletricidade'!E11</f>
        <v>23.213999999999999</v>
      </c>
      <c r="K11" s="87" t="s">
        <v>20</v>
      </c>
      <c r="L11" s="224"/>
      <c r="M11" s="224"/>
      <c r="N11" s="224"/>
      <c r="O11" s="86">
        <f>L11*'PAG100 FE GE'!$E$2+M11*'PAG100 FE GE'!$E$3+N11*'PAG100 FE GE'!$E$4</f>
        <v>0</v>
      </c>
      <c r="P11" s="86">
        <f>L11*'PAG20 FE GE'!$E$2+M11*'PAG20 FE GE'!$E$3+N11*'PAG20 FE GE'!$E$4</f>
        <v>0</v>
      </c>
      <c r="Q11" s="86">
        <f>L11*'PAG100 FE GE'!$D$2+M11*'PAG100 FE GE'!$D$3+N11*'PAG100 FE GE'!$D$4</f>
        <v>0</v>
      </c>
      <c r="R11" s="86">
        <f>L11*'PAG20 FE GE'!$D$2+M11*'PAG20 FE GE'!$D$3+N11*'PAG20 FE GE'!$D$4</f>
        <v>0</v>
      </c>
      <c r="S11" s="86">
        <f>L11*'PAG100 FE GE'!$C$2+M11*'PAG100 FE GE'!$C$3+N11*'PAG100 FE GE'!$C$4</f>
        <v>0</v>
      </c>
      <c r="T11" s="86">
        <f>L11*'PAG20 FE GE'!$C$2+M11*'PAG20 FE GE'!$C$3+N11*'PAG20 FE GE'!$C$4</f>
        <v>0</v>
      </c>
      <c r="U11" s="226">
        <f t="shared" si="1"/>
        <v>7.2999999999999995E-2</v>
      </c>
    </row>
    <row r="12" spans="1:22" x14ac:dyDescent="0.25">
      <c r="A12" s="154" t="s">
        <v>684</v>
      </c>
      <c r="B12" s="8" t="s">
        <v>452</v>
      </c>
      <c r="C12" s="8" t="s">
        <v>447</v>
      </c>
      <c r="D12" s="8" t="s">
        <v>208</v>
      </c>
      <c r="E12" s="8">
        <v>2008</v>
      </c>
      <c r="F12" s="154" t="str">
        <f t="shared" si="0"/>
        <v>ERSE: Eléctrica: Perdas Rede SEN: Portugal: 2008:: kWh</v>
      </c>
      <c r="G12" s="89">
        <v>8.1000000000000003E-2</v>
      </c>
      <c r="H12" s="206" t="s">
        <v>678</v>
      </c>
      <c r="I12" s="89" t="s">
        <v>184</v>
      </c>
      <c r="J12" s="20">
        <f>G12*'FE Produção Eletricidade'!E12</f>
        <v>32.157000000000004</v>
      </c>
      <c r="K12" s="87" t="s">
        <v>20</v>
      </c>
      <c r="L12" s="224"/>
      <c r="M12" s="224"/>
      <c r="N12" s="224"/>
      <c r="O12" s="86">
        <f>L12*'PAG100 FE GE'!$E$2+M12*'PAG100 FE GE'!$E$3+N12*'PAG100 FE GE'!$E$4</f>
        <v>0</v>
      </c>
      <c r="P12" s="86">
        <f>L12*'PAG20 FE GE'!$E$2+M12*'PAG20 FE GE'!$E$3+N12*'PAG20 FE GE'!$E$4</f>
        <v>0</v>
      </c>
      <c r="Q12" s="86">
        <f>L12*'PAG100 FE GE'!$D$2+M12*'PAG100 FE GE'!$D$3+N12*'PAG100 FE GE'!$D$4</f>
        <v>0</v>
      </c>
      <c r="R12" s="86">
        <f>L12*'PAG20 FE GE'!$D$2+M12*'PAG20 FE GE'!$D$3+N12*'PAG20 FE GE'!$D$4</f>
        <v>0</v>
      </c>
      <c r="S12" s="86">
        <f>L12*'PAG100 FE GE'!$C$2+M12*'PAG100 FE GE'!$C$3+N12*'PAG100 FE GE'!$C$4</f>
        <v>0</v>
      </c>
      <c r="T12" s="86">
        <f>L12*'PAG20 FE GE'!$C$2+M12*'PAG20 FE GE'!$C$3+N12*'PAG20 FE GE'!$C$4</f>
        <v>0</v>
      </c>
      <c r="U12" s="226">
        <f t="shared" si="1"/>
        <v>8.1000000000000003E-2</v>
      </c>
    </row>
    <row r="13" spans="1:22" x14ac:dyDescent="0.25">
      <c r="A13" s="154" t="s">
        <v>684</v>
      </c>
      <c r="B13" s="8" t="s">
        <v>452</v>
      </c>
      <c r="C13" s="8" t="s">
        <v>447</v>
      </c>
      <c r="D13" s="8" t="s">
        <v>208</v>
      </c>
      <c r="E13" s="8">
        <v>2007</v>
      </c>
      <c r="F13" s="154" t="str">
        <f t="shared" si="0"/>
        <v>ERSE: Eléctrica: Perdas Rede SEN: Portugal: 2007:: kWh</v>
      </c>
      <c r="G13" s="89">
        <v>7.9000000000000001E-2</v>
      </c>
      <c r="H13" s="206" t="s">
        <v>678</v>
      </c>
      <c r="I13" s="89" t="s">
        <v>184</v>
      </c>
      <c r="J13" s="20">
        <f>G13*'FE Produção Eletricidade'!E13</f>
        <v>26.228000000000002</v>
      </c>
      <c r="K13" s="87" t="s">
        <v>20</v>
      </c>
      <c r="L13" s="224"/>
      <c r="M13" s="224"/>
      <c r="N13" s="224"/>
      <c r="O13" s="86">
        <f>L13*'PAG100 FE GE'!$E$2+M13*'PAG100 FE GE'!$E$3+N13*'PAG100 FE GE'!$E$4</f>
        <v>0</v>
      </c>
      <c r="P13" s="86">
        <f>L13*'PAG20 FE GE'!$E$2+M13*'PAG20 FE GE'!$E$3+N13*'PAG20 FE GE'!$E$4</f>
        <v>0</v>
      </c>
      <c r="Q13" s="86">
        <f>L13*'PAG100 FE GE'!$D$2+M13*'PAG100 FE GE'!$D$3+N13*'PAG100 FE GE'!$D$4</f>
        <v>0</v>
      </c>
      <c r="R13" s="86">
        <f>L13*'PAG20 FE GE'!$D$2+M13*'PAG20 FE GE'!$D$3+N13*'PAG20 FE GE'!$D$4</f>
        <v>0</v>
      </c>
      <c r="S13" s="86">
        <f>L13*'PAG100 FE GE'!$C$2+M13*'PAG100 FE GE'!$C$3+N13*'PAG100 FE GE'!$C$4</f>
        <v>0</v>
      </c>
      <c r="T13" s="86">
        <f>L13*'PAG20 FE GE'!$C$2+M13*'PAG20 FE GE'!$C$3+N13*'PAG20 FE GE'!$C$4</f>
        <v>0</v>
      </c>
      <c r="U13" s="226">
        <f t="shared" si="1"/>
        <v>7.9000000000000001E-2</v>
      </c>
    </row>
    <row r="14" spans="1:22" x14ac:dyDescent="0.25">
      <c r="A14" s="154" t="s">
        <v>684</v>
      </c>
      <c r="B14" s="8" t="s">
        <v>452</v>
      </c>
      <c r="C14" s="8" t="s">
        <v>447</v>
      </c>
      <c r="D14" s="8" t="s">
        <v>208</v>
      </c>
      <c r="E14" s="8">
        <v>2006</v>
      </c>
      <c r="F14" s="154" t="str">
        <f t="shared" si="0"/>
        <v>ERSE: Eléctrica: Perdas Rede SEN: Portugal: 2006:: kWh</v>
      </c>
      <c r="G14" s="89">
        <v>7.1999999999999995E-2</v>
      </c>
      <c r="H14" s="206" t="s">
        <v>678</v>
      </c>
      <c r="I14" s="89" t="s">
        <v>184</v>
      </c>
      <c r="J14" s="20">
        <f>G14*'FE Produção Eletricidade'!E14</f>
        <v>20.16</v>
      </c>
      <c r="K14" s="87" t="s">
        <v>20</v>
      </c>
      <c r="L14" s="224"/>
      <c r="M14" s="224"/>
      <c r="N14" s="224"/>
      <c r="O14" s="86">
        <f>L14*'PAG100 FE GE'!$E$2+M14*'PAG100 FE GE'!$E$3+N14*'PAG100 FE GE'!$E$4</f>
        <v>0</v>
      </c>
      <c r="P14" s="86">
        <f>L14*'PAG20 FE GE'!$E$2+M14*'PAG20 FE GE'!$E$3+N14*'PAG20 FE GE'!$E$4</f>
        <v>0</v>
      </c>
      <c r="Q14" s="86">
        <f>L14*'PAG100 FE GE'!$D$2+M14*'PAG100 FE GE'!$D$3+N14*'PAG100 FE GE'!$D$4</f>
        <v>0</v>
      </c>
      <c r="R14" s="86">
        <f>L14*'PAG20 FE GE'!$D$2+M14*'PAG20 FE GE'!$D$3+N14*'PAG20 FE GE'!$D$4</f>
        <v>0</v>
      </c>
      <c r="S14" s="86">
        <f>L14*'PAG100 FE GE'!$C$2+M14*'PAG100 FE GE'!$C$3+N14*'PAG100 FE GE'!$C$4</f>
        <v>0</v>
      </c>
      <c r="T14" s="86">
        <f>L14*'PAG20 FE GE'!$C$2+M14*'PAG20 FE GE'!$C$3+N14*'PAG20 FE GE'!$C$4</f>
        <v>0</v>
      </c>
      <c r="U14" s="226">
        <f t="shared" si="1"/>
        <v>7.1999999999999995E-2</v>
      </c>
    </row>
    <row r="15" spans="1:22" x14ac:dyDescent="0.25">
      <c r="A15" s="154" t="s">
        <v>684</v>
      </c>
      <c r="B15" s="8" t="s">
        <v>452</v>
      </c>
      <c r="C15" s="8" t="s">
        <v>447</v>
      </c>
      <c r="D15" s="8" t="s">
        <v>208</v>
      </c>
      <c r="E15" s="8">
        <v>2005</v>
      </c>
      <c r="F15" s="154" t="str">
        <f t="shared" si="0"/>
        <v>ERSE: Eléctrica: Perdas Rede SEN: Portugal: 2005:: kWh</v>
      </c>
      <c r="G15" s="89">
        <v>8.1000000000000003E-2</v>
      </c>
      <c r="H15" s="206" t="s">
        <v>678</v>
      </c>
      <c r="I15" s="89" t="s">
        <v>184</v>
      </c>
      <c r="J15" s="20">
        <f>G15*'FE Produção Eletricidade'!E15</f>
        <v>31.752000000000002</v>
      </c>
      <c r="K15" s="87" t="s">
        <v>20</v>
      </c>
      <c r="L15" s="224"/>
      <c r="M15" s="224"/>
      <c r="N15" s="224"/>
      <c r="O15" s="86">
        <f>L15*'PAG100 FE GE'!$E$2+M15*'PAG100 FE GE'!$E$3+N15*'PAG100 FE GE'!$E$4</f>
        <v>0</v>
      </c>
      <c r="P15" s="86">
        <f>L15*'PAG20 FE GE'!$E$2+M15*'PAG20 FE GE'!$E$3+N15*'PAG20 FE GE'!$E$4</f>
        <v>0</v>
      </c>
      <c r="Q15" s="86">
        <f>L15*'PAG100 FE GE'!$D$2+M15*'PAG100 FE GE'!$D$3+N15*'PAG100 FE GE'!$D$4</f>
        <v>0</v>
      </c>
      <c r="R15" s="86">
        <f>L15*'PAG20 FE GE'!$D$2+M15*'PAG20 FE GE'!$D$3+N15*'PAG20 FE GE'!$D$4</f>
        <v>0</v>
      </c>
      <c r="S15" s="86">
        <f>L15*'PAG100 FE GE'!$C$2+M15*'PAG100 FE GE'!$C$3+N15*'PAG100 FE GE'!$C$4</f>
        <v>0</v>
      </c>
      <c r="T15" s="86">
        <f>L15*'PAG20 FE GE'!$C$2+M15*'PAG20 FE GE'!$C$3+N15*'PAG20 FE GE'!$C$4</f>
        <v>0</v>
      </c>
      <c r="U15" s="226">
        <f t="shared" si="1"/>
        <v>8.1000000000000003E-2</v>
      </c>
    </row>
    <row r="16" spans="1:22" x14ac:dyDescent="0.25">
      <c r="A16" s="154" t="s">
        <v>684</v>
      </c>
      <c r="B16" s="8" t="s">
        <v>452</v>
      </c>
      <c r="C16" s="8" t="s">
        <v>447</v>
      </c>
      <c r="D16" s="8" t="s">
        <v>208</v>
      </c>
      <c r="E16" s="8">
        <v>2004</v>
      </c>
      <c r="F16" s="154" t="str">
        <f t="shared" si="0"/>
        <v>ERSE: Eléctrica: Perdas Rede SEN: Portugal: 2004:: kWh</v>
      </c>
      <c r="G16" s="89">
        <v>8.5999999999999993E-2</v>
      </c>
      <c r="H16" s="206" t="s">
        <v>678</v>
      </c>
      <c r="I16" s="89" t="s">
        <v>184</v>
      </c>
      <c r="J16" s="20">
        <f>G16*'FE Produção Eletricidade'!E16</f>
        <v>35.775999999999996</v>
      </c>
      <c r="K16" s="87" t="s">
        <v>20</v>
      </c>
      <c r="L16" s="224"/>
      <c r="M16" s="224"/>
      <c r="N16" s="224"/>
      <c r="O16" s="86">
        <f>L16*'PAG100 FE GE'!$E$2+M16*'PAG100 FE GE'!$E$3+N16*'PAG100 FE GE'!$E$4</f>
        <v>0</v>
      </c>
      <c r="P16" s="86">
        <f>L16*'PAG20 FE GE'!$E$2+M16*'PAG20 FE GE'!$E$3+N16*'PAG20 FE GE'!$E$4</f>
        <v>0</v>
      </c>
      <c r="Q16" s="86">
        <f>L16*'PAG100 FE GE'!$D$2+M16*'PAG100 FE GE'!$D$3+N16*'PAG100 FE GE'!$D$4</f>
        <v>0</v>
      </c>
      <c r="R16" s="86">
        <f>L16*'PAG20 FE GE'!$D$2+M16*'PAG20 FE GE'!$D$3+N16*'PAG20 FE GE'!$D$4</f>
        <v>0</v>
      </c>
      <c r="S16" s="86">
        <f>L16*'PAG100 FE GE'!$C$2+M16*'PAG100 FE GE'!$C$3+N16*'PAG100 FE GE'!$C$4</f>
        <v>0</v>
      </c>
      <c r="T16" s="86">
        <f>L16*'PAG20 FE GE'!$C$2+M16*'PAG20 FE GE'!$C$3+N16*'PAG20 FE GE'!$C$4</f>
        <v>0</v>
      </c>
      <c r="U16" s="226">
        <f t="shared" si="1"/>
        <v>8.5999999999999993E-2</v>
      </c>
    </row>
    <row r="17" spans="1:21" x14ac:dyDescent="0.25">
      <c r="A17" s="154" t="s">
        <v>684</v>
      </c>
      <c r="B17" s="8" t="s">
        <v>452</v>
      </c>
      <c r="C17" s="8" t="s">
        <v>447</v>
      </c>
      <c r="D17" s="8" t="s">
        <v>208</v>
      </c>
      <c r="E17" s="8">
        <v>2003</v>
      </c>
      <c r="F17" s="154" t="str">
        <f t="shared" si="0"/>
        <v>ERSE: Eléctrica: Perdas Rede SEN: Portugal: 2003:: kWh</v>
      </c>
      <c r="G17" s="89">
        <v>8.5999999999999993E-2</v>
      </c>
      <c r="H17" s="206" t="s">
        <v>678</v>
      </c>
      <c r="I17" s="89" t="s">
        <v>184</v>
      </c>
      <c r="J17" s="20">
        <f>G17*'FE Produção Eletricidade'!E17</f>
        <v>36.205999999999996</v>
      </c>
      <c r="K17" s="87" t="s">
        <v>20</v>
      </c>
      <c r="L17" s="224"/>
      <c r="M17" s="224"/>
      <c r="N17" s="224"/>
      <c r="O17" s="86">
        <f>L17*'PAG100 FE GE'!$E$2+M17*'PAG100 FE GE'!$E$3+N17*'PAG100 FE GE'!$E$4</f>
        <v>0</v>
      </c>
      <c r="P17" s="86">
        <f>L17*'PAG20 FE GE'!$E$2+M17*'PAG20 FE GE'!$E$3+N17*'PAG20 FE GE'!$E$4</f>
        <v>0</v>
      </c>
      <c r="Q17" s="86">
        <f>L17*'PAG100 FE GE'!$D$2+M17*'PAG100 FE GE'!$D$3+N17*'PAG100 FE GE'!$D$4</f>
        <v>0</v>
      </c>
      <c r="R17" s="86">
        <f>L17*'PAG20 FE GE'!$D$2+M17*'PAG20 FE GE'!$D$3+N17*'PAG20 FE GE'!$D$4</f>
        <v>0</v>
      </c>
      <c r="S17" s="86">
        <f>L17*'PAG100 FE GE'!$C$2+M17*'PAG100 FE GE'!$C$3+N17*'PAG100 FE GE'!$C$4</f>
        <v>0</v>
      </c>
      <c r="T17" s="86">
        <f>L17*'PAG20 FE GE'!$C$2+M17*'PAG20 FE GE'!$C$3+N17*'PAG20 FE GE'!$C$4</f>
        <v>0</v>
      </c>
      <c r="U17" s="226">
        <f t="shared" si="1"/>
        <v>8.5999999999999993E-2</v>
      </c>
    </row>
    <row r="18" spans="1:21" x14ac:dyDescent="0.25">
      <c r="A18" s="154" t="s">
        <v>684</v>
      </c>
      <c r="B18" s="8" t="s">
        <v>452</v>
      </c>
      <c r="C18" s="8" t="s">
        <v>447</v>
      </c>
      <c r="D18" s="8" t="s">
        <v>208</v>
      </c>
      <c r="E18" s="8">
        <v>2002</v>
      </c>
      <c r="F18" s="154" t="str">
        <f t="shared" si="0"/>
        <v>ERSE: Eléctrica: Perdas Rede SEN: Portugal: 2002:: kWh</v>
      </c>
      <c r="G18" s="89">
        <v>8.2000000000000003E-2</v>
      </c>
      <c r="H18" s="206" t="s">
        <v>678</v>
      </c>
      <c r="I18" s="89" t="s">
        <v>184</v>
      </c>
      <c r="J18" s="20">
        <f>G18*'FE Produção Eletricidade'!E18</f>
        <v>36.9</v>
      </c>
      <c r="K18" s="87" t="s">
        <v>20</v>
      </c>
      <c r="L18" s="224"/>
      <c r="M18" s="224"/>
      <c r="N18" s="224"/>
      <c r="O18" s="86">
        <f>L18*'PAG100 FE GE'!$E$2+M18*'PAG100 FE GE'!$E$3+N18*'PAG100 FE GE'!$E$4</f>
        <v>0</v>
      </c>
      <c r="P18" s="86">
        <f>L18*'PAG20 FE GE'!$E$2+M18*'PAG20 FE GE'!$E$3+N18*'PAG20 FE GE'!$E$4</f>
        <v>0</v>
      </c>
      <c r="Q18" s="86">
        <f>L18*'PAG100 FE GE'!$D$2+M18*'PAG100 FE GE'!$D$3+N18*'PAG100 FE GE'!$D$4</f>
        <v>0</v>
      </c>
      <c r="R18" s="86">
        <f>L18*'PAG20 FE GE'!$D$2+M18*'PAG20 FE GE'!$D$3+N18*'PAG20 FE GE'!$D$4</f>
        <v>0</v>
      </c>
      <c r="S18" s="86">
        <f>L18*'PAG100 FE GE'!$C$2+M18*'PAG100 FE GE'!$C$3+N18*'PAG100 FE GE'!$C$4</f>
        <v>0</v>
      </c>
      <c r="T18" s="86">
        <f>L18*'PAG20 FE GE'!$C$2+M18*'PAG20 FE GE'!$C$3+N18*'PAG20 FE GE'!$C$4</f>
        <v>0</v>
      </c>
      <c r="U18" s="226">
        <f t="shared" si="1"/>
        <v>8.2000000000000003E-2</v>
      </c>
    </row>
    <row r="19" spans="1:21" x14ac:dyDescent="0.25">
      <c r="A19" s="154" t="s">
        <v>684</v>
      </c>
      <c r="B19" s="8" t="s">
        <v>452</v>
      </c>
      <c r="C19" s="8" t="s">
        <v>447</v>
      </c>
      <c r="D19" s="8" t="s">
        <v>208</v>
      </c>
      <c r="E19" s="8">
        <v>2001</v>
      </c>
      <c r="F19" s="154" t="str">
        <f t="shared" si="0"/>
        <v>ERSE: Eléctrica: Perdas Rede SEN: Portugal: 2001:: kWh</v>
      </c>
      <c r="G19" s="89">
        <v>9.0999999999999998E-2</v>
      </c>
      <c r="H19" s="206" t="s">
        <v>678</v>
      </c>
      <c r="I19" s="89" t="s">
        <v>184</v>
      </c>
      <c r="J19" s="20">
        <f>G19*'FE Produção Eletricidade'!E19</f>
        <v>48.684999999999995</v>
      </c>
      <c r="K19" s="87" t="s">
        <v>20</v>
      </c>
      <c r="L19" s="224"/>
      <c r="M19" s="224"/>
      <c r="N19" s="224"/>
      <c r="O19" s="86">
        <f>L19*'PAG100 FE GE'!$E$2+M19*'PAG100 FE GE'!$E$3+N19*'PAG100 FE GE'!$E$4</f>
        <v>0</v>
      </c>
      <c r="P19" s="86">
        <f>L19*'PAG20 FE GE'!$E$2+M19*'PAG20 FE GE'!$E$3+N19*'PAG20 FE GE'!$E$4</f>
        <v>0</v>
      </c>
      <c r="Q19" s="86">
        <f>L19*'PAG100 FE GE'!$D$2+M19*'PAG100 FE GE'!$D$3+N19*'PAG100 FE GE'!$D$4</f>
        <v>0</v>
      </c>
      <c r="R19" s="86">
        <f>L19*'PAG20 FE GE'!$D$2+M19*'PAG20 FE GE'!$D$3+N19*'PAG20 FE GE'!$D$4</f>
        <v>0</v>
      </c>
      <c r="S19" s="86">
        <f>L19*'PAG100 FE GE'!$C$2+M19*'PAG100 FE GE'!$C$3+N19*'PAG100 FE GE'!$C$4</f>
        <v>0</v>
      </c>
      <c r="T19" s="86">
        <f>L19*'PAG20 FE GE'!$C$2+M19*'PAG20 FE GE'!$C$3+N19*'PAG20 FE GE'!$C$4</f>
        <v>0</v>
      </c>
      <c r="U19" s="226">
        <f t="shared" si="1"/>
        <v>9.0999999999999998E-2</v>
      </c>
    </row>
    <row r="20" spans="1:21" x14ac:dyDescent="0.25">
      <c r="A20" s="154" t="s">
        <v>684</v>
      </c>
      <c r="B20" s="8" t="s">
        <v>452</v>
      </c>
      <c r="C20" s="8" t="s">
        <v>447</v>
      </c>
      <c r="D20" s="8" t="s">
        <v>208</v>
      </c>
      <c r="E20" s="8">
        <v>2000</v>
      </c>
      <c r="F20" s="154" t="str">
        <f t="shared" si="0"/>
        <v>ERSE: Eléctrica: Perdas Rede SEN: Portugal: 2000:: kWh</v>
      </c>
      <c r="G20" s="89">
        <v>8.5999999999999993E-2</v>
      </c>
      <c r="H20" s="206" t="s">
        <v>678</v>
      </c>
      <c r="I20" s="89" t="s">
        <v>184</v>
      </c>
      <c r="J20" s="20">
        <f>G20*'FE Produção Eletricidade'!E20</f>
        <v>41.623999999999995</v>
      </c>
      <c r="K20" s="87" t="s">
        <v>20</v>
      </c>
      <c r="L20" s="224"/>
      <c r="M20" s="224"/>
      <c r="N20" s="224"/>
      <c r="O20" s="86">
        <f>L20*'PAG100 FE GE'!$E$2+M20*'PAG100 FE GE'!$E$3+N20*'PAG100 FE GE'!$E$4</f>
        <v>0</v>
      </c>
      <c r="P20" s="86">
        <f>L20*'PAG20 FE GE'!$E$2+M20*'PAG20 FE GE'!$E$3+N20*'PAG20 FE GE'!$E$4</f>
        <v>0</v>
      </c>
      <c r="Q20" s="86">
        <f>L20*'PAG100 FE GE'!$D$2+M20*'PAG100 FE GE'!$D$3+N20*'PAG100 FE GE'!$D$4</f>
        <v>0</v>
      </c>
      <c r="R20" s="86">
        <f>L20*'PAG20 FE GE'!$D$2+M20*'PAG20 FE GE'!$D$3+N20*'PAG20 FE GE'!$D$4</f>
        <v>0</v>
      </c>
      <c r="S20" s="86">
        <f>L20*'PAG100 FE GE'!$C$2+M20*'PAG100 FE GE'!$C$3+N20*'PAG100 FE GE'!$C$4</f>
        <v>0</v>
      </c>
      <c r="T20" s="86">
        <f>L20*'PAG20 FE GE'!$C$2+M20*'PAG20 FE GE'!$C$3+N20*'PAG20 FE GE'!$C$4</f>
        <v>0</v>
      </c>
      <c r="U20" s="226">
        <f t="shared" si="1"/>
        <v>8.5999999999999993E-2</v>
      </c>
    </row>
    <row r="21" spans="1:21" x14ac:dyDescent="0.25">
      <c r="A21" s="154" t="s">
        <v>684</v>
      </c>
      <c r="B21" s="8" t="s">
        <v>452</v>
      </c>
      <c r="C21" s="8" t="s">
        <v>447</v>
      </c>
      <c r="D21" s="8" t="s">
        <v>208</v>
      </c>
      <c r="E21" s="8">
        <v>1999</v>
      </c>
      <c r="F21" s="154" t="str">
        <f t="shared" si="0"/>
        <v>ERSE: Eléctrica: Perdas Rede SEN: Portugal: 1999:: kWh</v>
      </c>
      <c r="G21" s="89">
        <v>8.6999999999999994E-2</v>
      </c>
      <c r="H21" s="206" t="s">
        <v>678</v>
      </c>
      <c r="I21" s="89" t="s">
        <v>184</v>
      </c>
      <c r="J21" s="20">
        <f>G21*'FE Produção Eletricidade'!E21</f>
        <v>38.192999999999998</v>
      </c>
      <c r="K21" s="87" t="s">
        <v>20</v>
      </c>
      <c r="L21" s="224"/>
      <c r="M21" s="224"/>
      <c r="N21" s="224"/>
      <c r="O21" s="86">
        <f>L21*'PAG100 FE GE'!$E$2+M21*'PAG100 FE GE'!$E$3+N21*'PAG100 FE GE'!$E$4</f>
        <v>0</v>
      </c>
      <c r="P21" s="86">
        <f>L21*'PAG20 FE GE'!$E$2+M21*'PAG20 FE GE'!$E$3+N21*'PAG20 FE GE'!$E$4</f>
        <v>0</v>
      </c>
      <c r="Q21" s="86">
        <f>L21*'PAG100 FE GE'!$D$2+M21*'PAG100 FE GE'!$D$3+N21*'PAG100 FE GE'!$D$4</f>
        <v>0</v>
      </c>
      <c r="R21" s="86">
        <f>L21*'PAG20 FE GE'!$D$2+M21*'PAG20 FE GE'!$D$3+N21*'PAG20 FE GE'!$D$4</f>
        <v>0</v>
      </c>
      <c r="S21" s="86">
        <f>L21*'PAG100 FE GE'!$C$2+M21*'PAG100 FE GE'!$C$3+N21*'PAG100 FE GE'!$C$4</f>
        <v>0</v>
      </c>
      <c r="T21" s="86">
        <f>L21*'PAG20 FE GE'!$C$2+M21*'PAG20 FE GE'!$C$3+N21*'PAG20 FE GE'!$C$4</f>
        <v>0</v>
      </c>
      <c r="U21" s="226">
        <f t="shared" si="1"/>
        <v>8.6999999999999994E-2</v>
      </c>
    </row>
    <row r="22" spans="1:21" x14ac:dyDescent="0.25">
      <c r="A22" s="154" t="s">
        <v>684</v>
      </c>
      <c r="B22" s="8" t="s">
        <v>452</v>
      </c>
      <c r="C22" s="8" t="s">
        <v>447</v>
      </c>
      <c r="D22" s="8" t="s">
        <v>208</v>
      </c>
      <c r="E22" s="8">
        <v>1998</v>
      </c>
      <c r="F22" s="154" t="str">
        <f t="shared" si="0"/>
        <v>ERSE: Eléctrica: Perdas Rede SEN: Portugal: 1998:: kWh</v>
      </c>
      <c r="G22" s="89">
        <v>9.2999999999999999E-2</v>
      </c>
      <c r="H22" s="206" t="s">
        <v>678</v>
      </c>
      <c r="I22" s="89" t="s">
        <v>184</v>
      </c>
      <c r="J22" s="20">
        <f>G22*'FE Produção Eletricidade'!E22</f>
        <v>50.127000000000002</v>
      </c>
      <c r="K22" s="87" t="s">
        <v>20</v>
      </c>
      <c r="L22" s="224"/>
      <c r="M22" s="224"/>
      <c r="N22" s="224"/>
      <c r="O22" s="86">
        <f>L22*'PAG100 FE GE'!$E$2+M22*'PAG100 FE GE'!$E$3+N22*'PAG100 FE GE'!$E$4</f>
        <v>0</v>
      </c>
      <c r="P22" s="86">
        <f>L22*'PAG20 FE GE'!$E$2+M22*'PAG20 FE GE'!$E$3+N22*'PAG20 FE GE'!$E$4</f>
        <v>0</v>
      </c>
      <c r="Q22" s="86">
        <f>L22*'PAG100 FE GE'!$D$2+M22*'PAG100 FE GE'!$D$3+N22*'PAG100 FE GE'!$D$4</f>
        <v>0</v>
      </c>
      <c r="R22" s="86">
        <f>L22*'PAG20 FE GE'!$D$2+M22*'PAG20 FE GE'!$D$3+N22*'PAG20 FE GE'!$D$4</f>
        <v>0</v>
      </c>
      <c r="S22" s="86">
        <f>L22*'PAG100 FE GE'!$C$2+M22*'PAG100 FE GE'!$C$3+N22*'PAG100 FE GE'!$C$4</f>
        <v>0</v>
      </c>
      <c r="T22" s="86">
        <f>L22*'PAG20 FE GE'!$C$2+M22*'PAG20 FE GE'!$C$3+N22*'PAG20 FE GE'!$C$4</f>
        <v>0</v>
      </c>
      <c r="U22" s="226">
        <f t="shared" si="1"/>
        <v>9.2999999999999999E-2</v>
      </c>
    </row>
    <row r="23" spans="1:21" x14ac:dyDescent="0.25">
      <c r="A23" s="154" t="s">
        <v>684</v>
      </c>
      <c r="B23" s="8" t="s">
        <v>452</v>
      </c>
      <c r="C23" s="8" t="s">
        <v>447</v>
      </c>
      <c r="D23" s="8" t="s">
        <v>208</v>
      </c>
      <c r="E23" s="8">
        <v>1997</v>
      </c>
      <c r="F23" s="154" t="str">
        <f t="shared" si="0"/>
        <v>ERSE: Eléctrica: Perdas Rede SEN: Portugal: 1997:: kWh</v>
      </c>
      <c r="G23" s="89">
        <v>9.1999999999999998E-2</v>
      </c>
      <c r="H23" s="206" t="s">
        <v>678</v>
      </c>
      <c r="I23" s="89" t="s">
        <v>184</v>
      </c>
      <c r="J23" s="20">
        <f>G23*'FE Produção Eletricidade'!E23</f>
        <v>42.411999999999999</v>
      </c>
      <c r="K23" s="87" t="s">
        <v>20</v>
      </c>
      <c r="L23" s="224"/>
      <c r="M23" s="224"/>
      <c r="N23" s="224"/>
      <c r="O23" s="86">
        <f>L23*'PAG100 FE GE'!$E$2+M23*'PAG100 FE GE'!$E$3+N23*'PAG100 FE GE'!$E$4</f>
        <v>0</v>
      </c>
      <c r="P23" s="86">
        <f>L23*'PAG20 FE GE'!$E$2+M23*'PAG20 FE GE'!$E$3+N23*'PAG20 FE GE'!$E$4</f>
        <v>0</v>
      </c>
      <c r="Q23" s="86">
        <f>L23*'PAG100 FE GE'!$D$2+M23*'PAG100 FE GE'!$D$3+N23*'PAG100 FE GE'!$D$4</f>
        <v>0</v>
      </c>
      <c r="R23" s="86">
        <f>L23*'PAG20 FE GE'!$D$2+M23*'PAG20 FE GE'!$D$3+N23*'PAG20 FE GE'!$D$4</f>
        <v>0</v>
      </c>
      <c r="S23" s="86">
        <f>L23*'PAG100 FE GE'!$C$2+M23*'PAG100 FE GE'!$C$3+N23*'PAG100 FE GE'!$C$4</f>
        <v>0</v>
      </c>
      <c r="T23" s="86">
        <f>L23*'PAG20 FE GE'!$C$2+M23*'PAG20 FE GE'!$C$3+N23*'PAG20 FE GE'!$C$4</f>
        <v>0</v>
      </c>
      <c r="U23" s="226">
        <f t="shared" si="1"/>
        <v>9.1999999999999998E-2</v>
      </c>
    </row>
    <row r="24" spans="1:21" x14ac:dyDescent="0.25">
      <c r="A24" s="154" t="s">
        <v>684</v>
      </c>
      <c r="B24" s="8" t="s">
        <v>453</v>
      </c>
      <c r="C24" s="8" t="s">
        <v>428</v>
      </c>
      <c r="D24" s="8" t="s">
        <v>429</v>
      </c>
      <c r="E24" s="8">
        <v>2022</v>
      </c>
      <c r="F24" s="154" t="str">
        <f t="shared" si="0"/>
        <v>DEFRA: Eléctrica: Perdas Rede UK: UK: 2022:: kWh</v>
      </c>
      <c r="G24" s="89">
        <v>8.3299999999999999E-2</v>
      </c>
      <c r="H24" s="206" t="s">
        <v>678</v>
      </c>
      <c r="I24" s="89" t="s">
        <v>184</v>
      </c>
      <c r="J24" s="20">
        <v>17.690000000000001</v>
      </c>
      <c r="K24" s="92" t="s">
        <v>20</v>
      </c>
      <c r="L24" s="225">
        <v>17.5</v>
      </c>
      <c r="M24" s="225">
        <f>0.07/'PAG100 FE GE'!D3</f>
        <v>2.5000000000000001E-3</v>
      </c>
      <c r="N24" s="225">
        <f>0.12/'PAG100 FE GE'!D4</f>
        <v>4.5283018867924528E-4</v>
      </c>
      <c r="O24" s="93">
        <f>L24*'PAG100 FE GE'!$E$2+M24*'PAG100 FE GE'!$E$3+N24*'PAG100 FE GE'!$E$4</f>
        <v>17.693372641509434</v>
      </c>
      <c r="P24" s="93">
        <f>L24*'PAG20 FE GE'!$E$2+M24*'PAG20 FE GE'!$E$3+N24*'PAG20 FE GE'!$E$4</f>
        <v>17.826622641509434</v>
      </c>
      <c r="Q24" s="93">
        <f>L24*'PAG100 FE GE'!$D$2+M24*'PAG100 FE GE'!$D$3+N24*'PAG100 FE GE'!$D$4</f>
        <v>17.690000000000001</v>
      </c>
      <c r="R24" s="93">
        <f>L24*'PAG20 FE GE'!$D$2+M24*'PAG20 FE GE'!$D$3+N24*'PAG20 FE GE'!$D$4</f>
        <v>17.832047169811318</v>
      </c>
      <c r="S24" s="93">
        <f>L24*'PAG100 FE GE'!$C$2+M24*'PAG100 FE GE'!$C$3+N24*'PAG100 FE GE'!$C$4</f>
        <v>17.697443396226415</v>
      </c>
      <c r="T24" s="93">
        <f>L24*'PAG20 FE GE'!$C$2+M24*'PAG20 FE GE'!$C$3+N24*'PAG20 FE GE'!$C$4</f>
        <v>17.810867924528303</v>
      </c>
      <c r="U24" s="226">
        <f t="shared" si="1"/>
        <v>8.3299999999999999E-2</v>
      </c>
    </row>
    <row r="25" spans="1:21" x14ac:dyDescent="0.25">
      <c r="A25" s="154" t="s">
        <v>684</v>
      </c>
      <c r="B25" s="8" t="s">
        <v>453</v>
      </c>
      <c r="C25" s="8" t="s">
        <v>428</v>
      </c>
      <c r="D25" s="8" t="s">
        <v>429</v>
      </c>
      <c r="E25" s="8">
        <v>2023</v>
      </c>
      <c r="F25" s="154" t="str">
        <f t="shared" si="0"/>
        <v>DEFRA: Eléctrica: Perdas Rede UK: UK: 2023:: kWh</v>
      </c>
      <c r="G25" s="139">
        <f>J25/'FE Produção Eletricidade'!E49</f>
        <v>8.6539111621932258E-2</v>
      </c>
      <c r="H25" s="206" t="s">
        <v>678</v>
      </c>
      <c r="I25" s="89" t="s">
        <v>184</v>
      </c>
      <c r="J25" s="20">
        <v>17.920000000000002</v>
      </c>
      <c r="K25" s="92" t="s">
        <v>20</v>
      </c>
      <c r="L25" s="225">
        <v>17.5</v>
      </c>
      <c r="M25" s="225">
        <f>0.07/'PAG100 FE GE'!D4</f>
        <v>2.6415094339622642E-4</v>
      </c>
      <c r="N25" s="225">
        <f>0.12/'PAG100 FE GE'!D5</f>
        <v>6.8181818181818184E-5</v>
      </c>
      <c r="O25" s="93">
        <f>L25*'PAG100 FE GE'!$E$2+M25*'PAG100 FE GE'!$E$3+N25*'PAG100 FE GE'!$E$4</f>
        <v>17.525983447684389</v>
      </c>
      <c r="P25" s="93">
        <f>L25*'PAG20 FE GE'!$E$2+M25*'PAG20 FE GE'!$E$3+N25*'PAG20 FE GE'!$E$4</f>
        <v>17.54006269296741</v>
      </c>
      <c r="Q25" s="93">
        <f>L25*'PAG100 FE GE'!$D$2+M25*'PAG100 FE GE'!$D$3+N25*'PAG100 FE GE'!$D$4</f>
        <v>17.525464408233276</v>
      </c>
      <c r="R25" s="93">
        <f>L25*'PAG20 FE GE'!$D$2+M25*'PAG20 FE GE'!$D$3+N25*'PAG20 FE GE'!$D$4</f>
        <v>17.540452830188681</v>
      </c>
      <c r="S25" s="93">
        <f>L25*'PAG100 FE GE'!$C$2+M25*'PAG100 FE GE'!$C$3+N25*'PAG100 FE GE'!$C$4</f>
        <v>17.52692195540309</v>
      </c>
      <c r="T25" s="93">
        <f>L25*'PAG20 FE GE'!$C$2+M25*'PAG20 FE GE'!$C$3+N25*'PAG20 FE GE'!$C$4</f>
        <v>17.538723413379074</v>
      </c>
      <c r="U25" s="226">
        <f t="shared" si="1"/>
        <v>8.6539111621932258E-2</v>
      </c>
    </row>
    <row r="26" spans="1:21" x14ac:dyDescent="0.25">
      <c r="A26" s="8" t="s">
        <v>231</v>
      </c>
      <c r="B26" s="8" t="s">
        <v>454</v>
      </c>
      <c r="C26" s="8" t="s">
        <v>428</v>
      </c>
      <c r="D26" s="8" t="s">
        <v>429</v>
      </c>
      <c r="E26" s="8">
        <v>2022</v>
      </c>
      <c r="F26" s="154" t="str">
        <f t="shared" si="0"/>
        <v>DEFRA: Butano: WTT: 2022:: tonnes</v>
      </c>
      <c r="G26" s="94">
        <f>J26/'FE DEFRA A1. Fuel Eq'!E2/1000</f>
        <v>0.1136612473013211</v>
      </c>
      <c r="H26" s="206" t="s">
        <v>678</v>
      </c>
      <c r="I26" s="8" t="s">
        <v>131</v>
      </c>
      <c r="J26" s="91">
        <f>344.30947*1000</f>
        <v>344309.47</v>
      </c>
      <c r="K26" s="87" t="s">
        <v>20</v>
      </c>
      <c r="L26" s="224"/>
      <c r="M26" s="224"/>
      <c r="N26" s="224"/>
      <c r="O26" s="86">
        <f>L26*'PAG100 FE GE'!$E$2+M26*'PAG100 FE GE'!$E$3+N26*'PAG100 FE GE'!$E$4</f>
        <v>0</v>
      </c>
      <c r="P26" s="86">
        <f>L26*'PAG20 FE GE'!$E$2+M26*'PAG20 FE GE'!$E$3+N26*'PAG20 FE GE'!$E$4</f>
        <v>0</v>
      </c>
      <c r="Q26" s="86">
        <f>L26*'PAG100 FE GE'!$D$2+M26*'PAG100 FE GE'!$D$3+N26*'PAG100 FE GE'!$D$4</f>
        <v>0</v>
      </c>
      <c r="R26" s="86">
        <f>L26*'PAG20 FE GE'!$D$2+M26*'PAG20 FE GE'!$D$3+N26*'PAG20 FE GE'!$D$4</f>
        <v>0</v>
      </c>
      <c r="S26" s="86">
        <f>L26*'PAG100 FE GE'!$C$2+M26*'PAG100 FE GE'!$C$3+N26*'PAG100 FE GE'!$C$4</f>
        <v>0</v>
      </c>
      <c r="T26" s="86">
        <f>L26*'PAG20 FE GE'!$C$2+M26*'PAG20 FE GE'!$C$3+N26*'PAG20 FE GE'!$C$4</f>
        <v>0</v>
      </c>
      <c r="U26" s="20">
        <f>J26</f>
        <v>344309.47</v>
      </c>
    </row>
    <row r="27" spans="1:21" x14ac:dyDescent="0.25">
      <c r="A27" s="8" t="s">
        <v>231</v>
      </c>
      <c r="B27" s="8" t="s">
        <v>454</v>
      </c>
      <c r="C27" s="8" t="s">
        <v>428</v>
      </c>
      <c r="D27" s="8" t="s">
        <v>429</v>
      </c>
      <c r="E27" s="8">
        <v>2022</v>
      </c>
      <c r="F27" s="154" t="str">
        <f t="shared" si="0"/>
        <v>DEFRA: Butano: WTT: 2022:: kg</v>
      </c>
      <c r="G27" s="94">
        <f>J27/'FE DEFRA A1. Fuel Eq'!E3/1000</f>
        <v>0.1136612473013211</v>
      </c>
      <c r="H27" s="206" t="s">
        <v>678</v>
      </c>
      <c r="I27" s="8" t="s">
        <v>57</v>
      </c>
      <c r="J27" s="91">
        <f>J26/1000</f>
        <v>344.30946999999998</v>
      </c>
      <c r="K27" s="87" t="s">
        <v>20</v>
      </c>
      <c r="L27" s="224"/>
      <c r="M27" s="224"/>
      <c r="N27" s="224"/>
      <c r="O27" s="86">
        <f>L27*'PAG100 FE GE'!$E$2+M27*'PAG100 FE GE'!$E$3+N27*'PAG100 FE GE'!$E$4</f>
        <v>0</v>
      </c>
      <c r="P27" s="86">
        <f>L27*'PAG20 FE GE'!$E$2+M27*'PAG20 FE GE'!$E$3+N27*'PAG20 FE GE'!$E$4</f>
        <v>0</v>
      </c>
      <c r="Q27" s="86">
        <f>L27*'PAG100 FE GE'!$D$2+M27*'PAG100 FE GE'!$D$3+N27*'PAG100 FE GE'!$D$4</f>
        <v>0</v>
      </c>
      <c r="R27" s="86">
        <f>L27*'PAG20 FE GE'!$D$2+M27*'PAG20 FE GE'!$D$3+N27*'PAG20 FE GE'!$D$4</f>
        <v>0</v>
      </c>
      <c r="S27" s="86">
        <f>L27*'PAG100 FE GE'!$C$2+M27*'PAG100 FE GE'!$C$3+N27*'PAG100 FE GE'!$C$4</f>
        <v>0</v>
      </c>
      <c r="T27" s="86">
        <f>L27*'PAG20 FE GE'!$C$2+M27*'PAG20 FE GE'!$C$3+N27*'PAG20 FE GE'!$C$4</f>
        <v>0</v>
      </c>
      <c r="U27" s="20">
        <f t="shared" ref="U27:U80" si="2">J27</f>
        <v>344.30946999999998</v>
      </c>
    </row>
    <row r="28" spans="1:21" x14ac:dyDescent="0.25">
      <c r="A28" s="8" t="s">
        <v>231</v>
      </c>
      <c r="B28" s="8" t="s">
        <v>454</v>
      </c>
      <c r="C28" s="8" t="s">
        <v>428</v>
      </c>
      <c r="D28" s="8" t="s">
        <v>429</v>
      </c>
      <c r="E28" s="8">
        <v>2022</v>
      </c>
      <c r="F28" s="154" t="str">
        <f t="shared" si="0"/>
        <v>DEFRA: Butano: WTT: 2022:: l</v>
      </c>
      <c r="G28" s="94">
        <f>J28/'FE DEFRA A1. Fuel Eq'!E4/1000</f>
        <v>0.11339904530224446</v>
      </c>
      <c r="H28" s="206" t="s">
        <v>678</v>
      </c>
      <c r="I28" s="8" t="s">
        <v>55</v>
      </c>
      <c r="J28" s="91">
        <v>197.65</v>
      </c>
      <c r="K28" s="87" t="s">
        <v>20</v>
      </c>
      <c r="L28" s="224"/>
      <c r="M28" s="224"/>
      <c r="N28" s="224"/>
      <c r="O28" s="86">
        <f>L28*'PAG100 FE GE'!$E$2+M28*'PAG100 FE GE'!$E$3+N28*'PAG100 FE GE'!$E$4</f>
        <v>0</v>
      </c>
      <c r="P28" s="86">
        <f>L28*'PAG20 FE GE'!$E$2+M28*'PAG20 FE GE'!$E$3+N28*'PAG20 FE GE'!$E$4</f>
        <v>0</v>
      </c>
      <c r="Q28" s="86">
        <f>L28*'PAG100 FE GE'!$D$2+M28*'PAG100 FE GE'!$D$3+N28*'PAG100 FE GE'!$D$4</f>
        <v>0</v>
      </c>
      <c r="R28" s="86">
        <f>L28*'PAG20 FE GE'!$D$2+M28*'PAG20 FE GE'!$D$3+N28*'PAG20 FE GE'!$D$4</f>
        <v>0</v>
      </c>
      <c r="S28" s="86">
        <f>L28*'PAG100 FE GE'!$C$2+M28*'PAG100 FE GE'!$C$3+N28*'PAG100 FE GE'!$C$4</f>
        <v>0</v>
      </c>
      <c r="T28" s="86">
        <f>L28*'PAG20 FE GE'!$C$2+M28*'PAG20 FE GE'!$C$3+N28*'PAG20 FE GE'!$C$4</f>
        <v>0</v>
      </c>
      <c r="U28" s="20">
        <f t="shared" si="2"/>
        <v>197.65</v>
      </c>
    </row>
    <row r="29" spans="1:21" x14ac:dyDescent="0.25">
      <c r="A29" s="8" t="s">
        <v>231</v>
      </c>
      <c r="B29" s="8" t="s">
        <v>454</v>
      </c>
      <c r="C29" s="8" t="s">
        <v>428</v>
      </c>
      <c r="D29" s="8" t="s">
        <v>429</v>
      </c>
      <c r="E29" s="8">
        <v>2022</v>
      </c>
      <c r="F29" s="154" t="str">
        <f t="shared" si="0"/>
        <v>DEFRA: Butano: WTT: 2022:: kWh (Net CV)</v>
      </c>
      <c r="G29" s="94">
        <f>J29/'FE DEFRA A1. Fuel Eq'!E5/1000</f>
        <v>0.11364958046024756</v>
      </c>
      <c r="H29" s="206" t="s">
        <v>678</v>
      </c>
      <c r="I29" s="8" t="s">
        <v>133</v>
      </c>
      <c r="J29" s="91">
        <v>27.36</v>
      </c>
      <c r="K29" s="87" t="s">
        <v>20</v>
      </c>
      <c r="L29" s="224"/>
      <c r="M29" s="224"/>
      <c r="N29" s="224"/>
      <c r="O29" s="86">
        <f>L29*'PAG100 FE GE'!$E$2+M29*'PAG100 FE GE'!$E$3+N29*'PAG100 FE GE'!$E$4</f>
        <v>0</v>
      </c>
      <c r="P29" s="86">
        <f>L29*'PAG20 FE GE'!$E$2+M29*'PAG20 FE GE'!$E$3+N29*'PAG20 FE GE'!$E$4</f>
        <v>0</v>
      </c>
      <c r="Q29" s="86">
        <f>L29*'PAG100 FE GE'!$D$2+M29*'PAG100 FE GE'!$D$3+N29*'PAG100 FE GE'!$D$4</f>
        <v>0</v>
      </c>
      <c r="R29" s="86">
        <f>L29*'PAG20 FE GE'!$D$2+M29*'PAG20 FE GE'!$D$3+N29*'PAG20 FE GE'!$D$4</f>
        <v>0</v>
      </c>
      <c r="S29" s="86">
        <f>L29*'PAG100 FE GE'!$C$2+M29*'PAG100 FE GE'!$C$3+N29*'PAG100 FE GE'!$C$4</f>
        <v>0</v>
      </c>
      <c r="T29" s="86">
        <f>L29*'PAG20 FE GE'!$C$2+M29*'PAG20 FE GE'!$C$3+N29*'PAG20 FE GE'!$C$4</f>
        <v>0</v>
      </c>
      <c r="U29" s="20">
        <f t="shared" si="2"/>
        <v>27.36</v>
      </c>
    </row>
    <row r="30" spans="1:21" x14ac:dyDescent="0.25">
      <c r="A30" s="8" t="s">
        <v>231</v>
      </c>
      <c r="B30" s="8" t="s">
        <v>454</v>
      </c>
      <c r="C30" s="8" t="s">
        <v>428</v>
      </c>
      <c r="D30" s="8" t="s">
        <v>429</v>
      </c>
      <c r="E30" s="8">
        <v>2022</v>
      </c>
      <c r="F30" s="154" t="str">
        <f t="shared" si="0"/>
        <v>DEFRA: Butano: WTT: 2022:: kWh (Gross CV)</v>
      </c>
      <c r="G30" s="94">
        <f>J30/'FE DEFRA A1. Fuel Eq'!E6/1000</f>
        <v>0.11364250337685726</v>
      </c>
      <c r="H30" s="206" t="s">
        <v>678</v>
      </c>
      <c r="I30" s="8" t="s">
        <v>134</v>
      </c>
      <c r="J30" s="91">
        <v>25.24</v>
      </c>
      <c r="K30" s="87" t="s">
        <v>20</v>
      </c>
      <c r="L30" s="224"/>
      <c r="M30" s="224"/>
      <c r="N30" s="224"/>
      <c r="O30" s="86">
        <f>L30*'PAG100 FE GE'!$E$2+M30*'PAG100 FE GE'!$E$3+N30*'PAG100 FE GE'!$E$4</f>
        <v>0</v>
      </c>
      <c r="P30" s="86">
        <f>L30*'PAG20 FE GE'!$E$2+M30*'PAG20 FE GE'!$E$3+N30*'PAG20 FE GE'!$E$4</f>
        <v>0</v>
      </c>
      <c r="Q30" s="86">
        <f>L30*'PAG100 FE GE'!$D$2+M30*'PAG100 FE GE'!$D$3+N30*'PAG100 FE GE'!$D$4</f>
        <v>0</v>
      </c>
      <c r="R30" s="86">
        <f>L30*'PAG20 FE GE'!$D$2+M30*'PAG20 FE GE'!$D$3+N30*'PAG20 FE GE'!$D$4</f>
        <v>0</v>
      </c>
      <c r="S30" s="86">
        <f>L30*'PAG100 FE GE'!$C$2+M30*'PAG100 FE GE'!$C$3+N30*'PAG100 FE GE'!$C$4</f>
        <v>0</v>
      </c>
      <c r="T30" s="86">
        <f>L30*'PAG20 FE GE'!$C$2+M30*'PAG20 FE GE'!$C$3+N30*'PAG20 FE GE'!$C$4</f>
        <v>0</v>
      </c>
      <c r="U30" s="20">
        <f t="shared" si="2"/>
        <v>25.24</v>
      </c>
    </row>
    <row r="31" spans="1:21" x14ac:dyDescent="0.25">
      <c r="A31" s="8" t="s">
        <v>92</v>
      </c>
      <c r="B31" s="8" t="s">
        <v>454</v>
      </c>
      <c r="C31" s="8" t="s">
        <v>428</v>
      </c>
      <c r="D31" s="8" t="s">
        <v>429</v>
      </c>
      <c r="E31" s="8">
        <v>2022</v>
      </c>
      <c r="F31" s="154" t="str">
        <f t="shared" si="0"/>
        <v>DEFRA: GNC: WTT: 2022:: tonnes</v>
      </c>
      <c r="G31" s="94">
        <f>J31/'FE DEFRA A1. Fuel Eq'!E7/1000</f>
        <v>0.20753573565119471</v>
      </c>
      <c r="H31" s="206" t="s">
        <v>678</v>
      </c>
      <c r="I31" s="8" t="s">
        <v>131</v>
      </c>
      <c r="J31" s="91">
        <v>530778.87</v>
      </c>
      <c r="K31" s="87" t="s">
        <v>20</v>
      </c>
      <c r="L31" s="224"/>
      <c r="M31" s="224"/>
      <c r="N31" s="224"/>
      <c r="O31" s="86">
        <f>L31*'PAG100 FE GE'!$E$2+M31*'PAG100 FE GE'!$E$3+N31*'PAG100 FE GE'!$E$4</f>
        <v>0</v>
      </c>
      <c r="P31" s="86">
        <f>L31*'PAG20 FE GE'!$E$2+M31*'PAG20 FE GE'!$E$3+N31*'PAG20 FE GE'!$E$4</f>
        <v>0</v>
      </c>
      <c r="Q31" s="86">
        <f>L31*'PAG100 FE GE'!$D$2+M31*'PAG100 FE GE'!$D$3+N31*'PAG100 FE GE'!$D$4</f>
        <v>0</v>
      </c>
      <c r="R31" s="86">
        <f>L31*'PAG20 FE GE'!$D$2+M31*'PAG20 FE GE'!$D$3+N31*'PAG20 FE GE'!$D$4</f>
        <v>0</v>
      </c>
      <c r="S31" s="86">
        <f>L31*'PAG100 FE GE'!$C$2+M31*'PAG100 FE GE'!$C$3+N31*'PAG100 FE GE'!$C$4</f>
        <v>0</v>
      </c>
      <c r="T31" s="86">
        <f>L31*'PAG20 FE GE'!$C$2+M31*'PAG20 FE GE'!$C$3+N31*'PAG20 FE GE'!$C$4</f>
        <v>0</v>
      </c>
      <c r="U31" s="20">
        <f t="shared" si="2"/>
        <v>530778.87</v>
      </c>
    </row>
    <row r="32" spans="1:21" x14ac:dyDescent="0.25">
      <c r="A32" s="8" t="s">
        <v>92</v>
      </c>
      <c r="B32" s="8" t="s">
        <v>454</v>
      </c>
      <c r="C32" s="8" t="s">
        <v>428</v>
      </c>
      <c r="D32" s="8" t="s">
        <v>429</v>
      </c>
      <c r="E32" s="8">
        <v>2022</v>
      </c>
      <c r="F32" s="154" t="str">
        <f t="shared" si="0"/>
        <v>DEFRA: GNC: WTT: 2022:: kg</v>
      </c>
      <c r="G32" s="94">
        <f>J32/'FE DEFRA A1. Fuel Eq'!E8/1000</f>
        <v>0.20753573565119468</v>
      </c>
      <c r="H32" s="206" t="s">
        <v>678</v>
      </c>
      <c r="I32" s="8" t="s">
        <v>57</v>
      </c>
      <c r="J32" s="91">
        <f>J31/1000</f>
        <v>530.77886999999998</v>
      </c>
      <c r="K32" s="87" t="s">
        <v>20</v>
      </c>
      <c r="L32" s="224"/>
      <c r="M32" s="224"/>
      <c r="N32" s="224"/>
      <c r="O32" s="86">
        <f>L32*'PAG100 FE GE'!$E$2+M32*'PAG100 FE GE'!$E$3+N32*'PAG100 FE GE'!$E$4</f>
        <v>0</v>
      </c>
      <c r="P32" s="86">
        <f>L32*'PAG20 FE GE'!$E$2+M32*'PAG20 FE GE'!$E$3+N32*'PAG20 FE GE'!$E$4</f>
        <v>0</v>
      </c>
      <c r="Q32" s="86">
        <f>L32*'PAG100 FE GE'!$D$2+M32*'PAG100 FE GE'!$D$3+N32*'PAG100 FE GE'!$D$4</f>
        <v>0</v>
      </c>
      <c r="R32" s="86">
        <f>L32*'PAG20 FE GE'!$D$2+M32*'PAG20 FE GE'!$D$3+N32*'PAG20 FE GE'!$D$4</f>
        <v>0</v>
      </c>
      <c r="S32" s="86">
        <f>L32*'PAG100 FE GE'!$C$2+M32*'PAG100 FE GE'!$C$3+N32*'PAG100 FE GE'!$C$4</f>
        <v>0</v>
      </c>
      <c r="T32" s="86">
        <f>L32*'PAG20 FE GE'!$C$2+M32*'PAG20 FE GE'!$C$3+N32*'PAG20 FE GE'!$C$4</f>
        <v>0</v>
      </c>
      <c r="U32" s="20">
        <f t="shared" si="2"/>
        <v>530.77886999999998</v>
      </c>
    </row>
    <row r="33" spans="1:21" x14ac:dyDescent="0.25">
      <c r="A33" s="8" t="s">
        <v>92</v>
      </c>
      <c r="B33" s="8" t="s">
        <v>454</v>
      </c>
      <c r="C33" s="8" t="s">
        <v>428</v>
      </c>
      <c r="D33" s="8" t="s">
        <v>429</v>
      </c>
      <c r="E33" s="8">
        <v>2022</v>
      </c>
      <c r="F33" s="154" t="str">
        <f t="shared" si="0"/>
        <v>DEFRA: GNC: WTT: 2022:: l</v>
      </c>
      <c r="G33" s="94">
        <f>J33/'FE DEFRA A1. Fuel Eq'!E9/1000</f>
        <v>0.20754295417476595</v>
      </c>
      <c r="H33" s="206" t="s">
        <v>678</v>
      </c>
      <c r="I33" s="8" t="s">
        <v>55</v>
      </c>
      <c r="J33" s="91">
        <v>92.89</v>
      </c>
      <c r="K33" s="87" t="s">
        <v>20</v>
      </c>
      <c r="L33" s="224"/>
      <c r="M33" s="224"/>
      <c r="N33" s="224"/>
      <c r="O33" s="86">
        <f>L33*'PAG100 FE GE'!$E$2+M33*'PAG100 FE GE'!$E$3+N33*'PAG100 FE GE'!$E$4</f>
        <v>0</v>
      </c>
      <c r="P33" s="86">
        <f>L33*'PAG20 FE GE'!$E$2+M33*'PAG20 FE GE'!$E$3+N33*'PAG20 FE GE'!$E$4</f>
        <v>0</v>
      </c>
      <c r="Q33" s="86">
        <f>L33*'PAG100 FE GE'!$D$2+M33*'PAG100 FE GE'!$D$3+N33*'PAG100 FE GE'!$D$4</f>
        <v>0</v>
      </c>
      <c r="R33" s="86">
        <f>L33*'PAG20 FE GE'!$D$2+M33*'PAG20 FE GE'!$D$3+N33*'PAG20 FE GE'!$D$4</f>
        <v>0</v>
      </c>
      <c r="S33" s="86">
        <f>L33*'PAG100 FE GE'!$C$2+M33*'PAG100 FE GE'!$C$3+N33*'PAG100 FE GE'!$C$4</f>
        <v>0</v>
      </c>
      <c r="T33" s="86">
        <f>L33*'PAG20 FE GE'!$C$2+M33*'PAG20 FE GE'!$C$3+N33*'PAG20 FE GE'!$C$4</f>
        <v>0</v>
      </c>
      <c r="U33" s="20">
        <f t="shared" si="2"/>
        <v>92.89</v>
      </c>
    </row>
    <row r="34" spans="1:21" x14ac:dyDescent="0.25">
      <c r="A34" s="8" t="s">
        <v>92</v>
      </c>
      <c r="B34" s="8" t="s">
        <v>454</v>
      </c>
      <c r="C34" s="8" t="s">
        <v>428</v>
      </c>
      <c r="D34" s="8" t="s">
        <v>429</v>
      </c>
      <c r="E34" s="8">
        <v>2022</v>
      </c>
      <c r="F34" s="154" t="str">
        <f t="shared" ref="F34:F65" si="3">IF(A34="Eléctrica",C34&amp;": "&amp;A34&amp;": "&amp;B34&amp;": "&amp;D34&amp;": "&amp;E34&amp;":: "&amp;I34,
C34&amp;": "&amp;A34&amp;": "&amp;B34&amp;": "&amp;E34&amp;":: "&amp;I34)</f>
        <v>DEFRA: GNC: WTT: 2022:: kWh (Net CV)</v>
      </c>
      <c r="G34" s="94">
        <f>J34/'FE DEFRA A1. Fuel Eq'!E10/1000</f>
        <v>0.20755463265104324</v>
      </c>
      <c r="H34" s="206" t="s">
        <v>678</v>
      </c>
      <c r="I34" s="8" t="s">
        <v>133</v>
      </c>
      <c r="J34" s="91">
        <v>41.980000000000004</v>
      </c>
      <c r="K34" s="87" t="s">
        <v>20</v>
      </c>
      <c r="L34" s="224"/>
      <c r="M34" s="224"/>
      <c r="N34" s="224"/>
      <c r="O34" s="86">
        <f>L34*'PAG100 FE GE'!$E$2+M34*'PAG100 FE GE'!$E$3+N34*'PAG100 FE GE'!$E$4</f>
        <v>0</v>
      </c>
      <c r="P34" s="86">
        <f>L34*'PAG20 FE GE'!$E$2+M34*'PAG20 FE GE'!$E$3+N34*'PAG20 FE GE'!$E$4</f>
        <v>0</v>
      </c>
      <c r="Q34" s="86">
        <f>L34*'PAG100 FE GE'!$D$2+M34*'PAG100 FE GE'!$D$3+N34*'PAG100 FE GE'!$D$4</f>
        <v>0</v>
      </c>
      <c r="R34" s="86">
        <f>L34*'PAG20 FE GE'!$D$2+M34*'PAG20 FE GE'!$D$3+N34*'PAG20 FE GE'!$D$4</f>
        <v>0</v>
      </c>
      <c r="S34" s="86">
        <f>L34*'PAG100 FE GE'!$C$2+M34*'PAG100 FE GE'!$C$3+N34*'PAG100 FE GE'!$C$4</f>
        <v>0</v>
      </c>
      <c r="T34" s="86">
        <f>L34*'PAG20 FE GE'!$C$2+M34*'PAG20 FE GE'!$C$3+N34*'PAG20 FE GE'!$C$4</f>
        <v>0</v>
      </c>
      <c r="U34" s="20">
        <f t="shared" si="2"/>
        <v>41.980000000000004</v>
      </c>
    </row>
    <row r="35" spans="1:21" x14ac:dyDescent="0.25">
      <c r="A35" s="8" t="s">
        <v>92</v>
      </c>
      <c r="B35" s="8" t="s">
        <v>454</v>
      </c>
      <c r="C35" s="8" t="s">
        <v>428</v>
      </c>
      <c r="D35" s="8" t="s">
        <v>429</v>
      </c>
      <c r="E35" s="8">
        <v>2022</v>
      </c>
      <c r="F35" s="154" t="str">
        <f t="shared" si="3"/>
        <v>DEFRA: GNC: WTT: 2022:: kWh (Gross CV)</v>
      </c>
      <c r="G35" s="94">
        <f>J35/'FE DEFRA A1. Fuel Eq'!E11/1000</f>
        <v>0.20754820333041193</v>
      </c>
      <c r="H35" s="206" t="s">
        <v>678</v>
      </c>
      <c r="I35" s="8" t="s">
        <v>134</v>
      </c>
      <c r="J35" s="91">
        <v>37.89</v>
      </c>
      <c r="K35" s="87" t="s">
        <v>20</v>
      </c>
      <c r="L35" s="224"/>
      <c r="M35" s="224"/>
      <c r="N35" s="224"/>
      <c r="O35" s="86">
        <f>L35*'PAG100 FE GE'!$E$2+M35*'PAG100 FE GE'!$E$3+N35*'PAG100 FE GE'!$E$4</f>
        <v>0</v>
      </c>
      <c r="P35" s="86">
        <f>L35*'PAG20 FE GE'!$E$2+M35*'PAG20 FE GE'!$E$3+N35*'PAG20 FE GE'!$E$4</f>
        <v>0</v>
      </c>
      <c r="Q35" s="86">
        <f>L35*'PAG100 FE GE'!$D$2+M35*'PAG100 FE GE'!$D$3+N35*'PAG100 FE GE'!$D$4</f>
        <v>0</v>
      </c>
      <c r="R35" s="86">
        <f>L35*'PAG20 FE GE'!$D$2+M35*'PAG20 FE GE'!$D$3+N35*'PAG20 FE GE'!$D$4</f>
        <v>0</v>
      </c>
      <c r="S35" s="86">
        <f>L35*'PAG100 FE GE'!$C$2+M35*'PAG100 FE GE'!$C$3+N35*'PAG100 FE GE'!$C$4</f>
        <v>0</v>
      </c>
      <c r="T35" s="86">
        <f>L35*'PAG20 FE GE'!$C$2+M35*'PAG20 FE GE'!$C$3+N35*'PAG20 FE GE'!$C$4</f>
        <v>0</v>
      </c>
      <c r="U35" s="20">
        <f t="shared" si="2"/>
        <v>37.89</v>
      </c>
    </row>
    <row r="36" spans="1:21" x14ac:dyDescent="0.25">
      <c r="A36" s="8" t="s">
        <v>95</v>
      </c>
      <c r="B36" s="8" t="s">
        <v>454</v>
      </c>
      <c r="C36" s="8" t="s">
        <v>428</v>
      </c>
      <c r="D36" s="8" t="s">
        <v>429</v>
      </c>
      <c r="E36" s="8">
        <v>2022</v>
      </c>
      <c r="F36" s="154" t="str">
        <f t="shared" si="3"/>
        <v>DEFRA: GNL: WTT: 2022:: tonnes</v>
      </c>
      <c r="G36" s="94">
        <f>J36/'FE DEFRA A1. Fuel Eq'!E12/1000</f>
        <v>0.35399666658905521</v>
      </c>
      <c r="H36" s="206" t="s">
        <v>678</v>
      </c>
      <c r="I36" s="8" t="s">
        <v>131</v>
      </c>
      <c r="J36" s="91">
        <v>912228.16999999993</v>
      </c>
      <c r="K36" s="87" t="s">
        <v>20</v>
      </c>
      <c r="L36" s="224"/>
      <c r="M36" s="224"/>
      <c r="N36" s="224"/>
      <c r="O36" s="86">
        <f>L36*'PAG100 FE GE'!$E$2+M36*'PAG100 FE GE'!$E$3+N36*'PAG100 FE GE'!$E$4</f>
        <v>0</v>
      </c>
      <c r="P36" s="86">
        <f>L36*'PAG20 FE GE'!$E$2+M36*'PAG20 FE GE'!$E$3+N36*'PAG20 FE GE'!$E$4</f>
        <v>0</v>
      </c>
      <c r="Q36" s="86">
        <f>L36*'PAG100 FE GE'!$D$2+M36*'PAG100 FE GE'!$D$3+N36*'PAG100 FE GE'!$D$4</f>
        <v>0</v>
      </c>
      <c r="R36" s="86">
        <f>L36*'PAG20 FE GE'!$D$2+M36*'PAG20 FE GE'!$D$3+N36*'PAG20 FE GE'!$D$4</f>
        <v>0</v>
      </c>
      <c r="S36" s="86">
        <f>L36*'PAG100 FE GE'!$C$2+M36*'PAG100 FE GE'!$C$3+N36*'PAG100 FE GE'!$C$4</f>
        <v>0</v>
      </c>
      <c r="T36" s="86">
        <f>L36*'PAG20 FE GE'!$C$2+M36*'PAG20 FE GE'!$C$3+N36*'PAG20 FE GE'!$C$4</f>
        <v>0</v>
      </c>
      <c r="U36" s="20">
        <f t="shared" si="2"/>
        <v>912228.16999999993</v>
      </c>
    </row>
    <row r="37" spans="1:21" x14ac:dyDescent="0.25">
      <c r="A37" s="8" t="s">
        <v>95</v>
      </c>
      <c r="B37" s="8" t="s">
        <v>454</v>
      </c>
      <c r="C37" s="8" t="s">
        <v>428</v>
      </c>
      <c r="D37" s="8" t="s">
        <v>429</v>
      </c>
      <c r="E37" s="8">
        <v>2022</v>
      </c>
      <c r="F37" s="154" t="str">
        <f t="shared" si="3"/>
        <v>DEFRA: GNL: WTT: 2022:: kg</v>
      </c>
      <c r="G37" s="94">
        <f>J37/'FE DEFRA A1. Fuel Eq'!E13/1000</f>
        <v>0.35399666658905521</v>
      </c>
      <c r="H37" s="206" t="s">
        <v>678</v>
      </c>
      <c r="I37" s="8" t="s">
        <v>57</v>
      </c>
      <c r="J37" s="91">
        <f>J36/1000</f>
        <v>912.22816999999998</v>
      </c>
      <c r="K37" s="87" t="s">
        <v>20</v>
      </c>
      <c r="L37" s="224"/>
      <c r="M37" s="224"/>
      <c r="N37" s="224"/>
      <c r="O37" s="86">
        <f>L37*'PAG100 FE GE'!$E$2+M37*'PAG100 FE GE'!$E$3+N37*'PAG100 FE GE'!$E$4</f>
        <v>0</v>
      </c>
      <c r="P37" s="86">
        <f>L37*'PAG20 FE GE'!$E$2+M37*'PAG20 FE GE'!$E$3+N37*'PAG20 FE GE'!$E$4</f>
        <v>0</v>
      </c>
      <c r="Q37" s="86">
        <f>L37*'PAG100 FE GE'!$D$2+M37*'PAG100 FE GE'!$D$3+N37*'PAG100 FE GE'!$D$4</f>
        <v>0</v>
      </c>
      <c r="R37" s="86">
        <f>L37*'PAG20 FE GE'!$D$2+M37*'PAG20 FE GE'!$D$3+N37*'PAG20 FE GE'!$D$4</f>
        <v>0</v>
      </c>
      <c r="S37" s="86">
        <f>L37*'PAG100 FE GE'!$C$2+M37*'PAG100 FE GE'!$C$3+N37*'PAG100 FE GE'!$C$4</f>
        <v>0</v>
      </c>
      <c r="T37" s="86">
        <f>L37*'PAG20 FE GE'!$C$2+M37*'PAG20 FE GE'!$C$3+N37*'PAG20 FE GE'!$C$4</f>
        <v>0</v>
      </c>
      <c r="U37" s="20">
        <f t="shared" si="2"/>
        <v>912.22816999999998</v>
      </c>
    </row>
    <row r="38" spans="1:21" x14ac:dyDescent="0.25">
      <c r="A38" s="8" t="s">
        <v>95</v>
      </c>
      <c r="B38" s="8" t="s">
        <v>454</v>
      </c>
      <c r="C38" s="8" t="s">
        <v>428</v>
      </c>
      <c r="D38" s="8" t="s">
        <v>429</v>
      </c>
      <c r="E38" s="8">
        <v>2022</v>
      </c>
      <c r="F38" s="154" t="str">
        <f t="shared" si="3"/>
        <v>DEFRA: GNL: WTT: 2022:: l</v>
      </c>
      <c r="G38" s="94">
        <f>J38/'FE DEFRA A1. Fuel Eq'!E14/1000</f>
        <v>0.35399300195533606</v>
      </c>
      <c r="H38" s="206" t="s">
        <v>678</v>
      </c>
      <c r="I38" s="8" t="s">
        <v>55</v>
      </c>
      <c r="J38" s="91">
        <v>412.77000000000004</v>
      </c>
      <c r="K38" s="87" t="s">
        <v>20</v>
      </c>
      <c r="L38" s="224"/>
      <c r="M38" s="224"/>
      <c r="N38" s="224"/>
      <c r="O38" s="86">
        <f>L38*'PAG100 FE GE'!$E$2+M38*'PAG100 FE GE'!$E$3+N38*'PAG100 FE GE'!$E$4</f>
        <v>0</v>
      </c>
      <c r="P38" s="86">
        <f>L38*'PAG20 FE GE'!$E$2+M38*'PAG20 FE GE'!$E$3+N38*'PAG20 FE GE'!$E$4</f>
        <v>0</v>
      </c>
      <c r="Q38" s="86">
        <f>L38*'PAG100 FE GE'!$D$2+M38*'PAG100 FE GE'!$D$3+N38*'PAG100 FE GE'!$D$4</f>
        <v>0</v>
      </c>
      <c r="R38" s="86">
        <f>L38*'PAG20 FE GE'!$D$2+M38*'PAG20 FE GE'!$D$3+N38*'PAG20 FE GE'!$D$4</f>
        <v>0</v>
      </c>
      <c r="S38" s="86">
        <f>L38*'PAG100 FE GE'!$C$2+M38*'PAG100 FE GE'!$C$3+N38*'PAG100 FE GE'!$C$4</f>
        <v>0</v>
      </c>
      <c r="T38" s="86">
        <f>L38*'PAG20 FE GE'!$C$2+M38*'PAG20 FE GE'!$C$3+N38*'PAG20 FE GE'!$C$4</f>
        <v>0</v>
      </c>
      <c r="U38" s="20">
        <f t="shared" si="2"/>
        <v>412.77000000000004</v>
      </c>
    </row>
    <row r="39" spans="1:21" x14ac:dyDescent="0.25">
      <c r="A39" s="8" t="s">
        <v>95</v>
      </c>
      <c r="B39" s="8" t="s">
        <v>454</v>
      </c>
      <c r="C39" s="8" t="s">
        <v>428</v>
      </c>
      <c r="D39" s="8" t="s">
        <v>429</v>
      </c>
      <c r="E39" s="8">
        <v>2022</v>
      </c>
      <c r="F39" s="154" t="str">
        <f t="shared" si="3"/>
        <v>DEFRA: GNL: WTT: 2022:: kWh (Net CV)</v>
      </c>
      <c r="G39" s="94">
        <f>J39/'FE DEFRA A1. Fuel Eq'!E15/1000</f>
        <v>0.35399185435988029</v>
      </c>
      <c r="H39" s="206" t="s">
        <v>678</v>
      </c>
      <c r="I39" s="8" t="s">
        <v>133</v>
      </c>
      <c r="J39" s="91">
        <v>72.14</v>
      </c>
      <c r="K39" s="87" t="s">
        <v>20</v>
      </c>
      <c r="L39" s="224"/>
      <c r="M39" s="224"/>
      <c r="N39" s="224"/>
      <c r="O39" s="86">
        <f>L39*'PAG100 FE GE'!$E$2+M39*'PAG100 FE GE'!$E$3+N39*'PAG100 FE GE'!$E$4</f>
        <v>0</v>
      </c>
      <c r="P39" s="86">
        <f>L39*'PAG20 FE GE'!$E$2+M39*'PAG20 FE GE'!$E$3+N39*'PAG20 FE GE'!$E$4</f>
        <v>0</v>
      </c>
      <c r="Q39" s="86">
        <f>L39*'PAG100 FE GE'!$D$2+M39*'PAG100 FE GE'!$D$3+N39*'PAG100 FE GE'!$D$4</f>
        <v>0</v>
      </c>
      <c r="R39" s="86">
        <f>L39*'PAG20 FE GE'!$D$2+M39*'PAG20 FE GE'!$D$3+N39*'PAG20 FE GE'!$D$4</f>
        <v>0</v>
      </c>
      <c r="S39" s="86">
        <f>L39*'PAG100 FE GE'!$C$2+M39*'PAG100 FE GE'!$C$3+N39*'PAG100 FE GE'!$C$4</f>
        <v>0</v>
      </c>
      <c r="T39" s="86">
        <f>L39*'PAG20 FE GE'!$C$2+M39*'PAG20 FE GE'!$C$3+N39*'PAG20 FE GE'!$C$4</f>
        <v>0</v>
      </c>
      <c r="U39" s="20">
        <f t="shared" si="2"/>
        <v>72.14</v>
      </c>
    </row>
    <row r="40" spans="1:21" x14ac:dyDescent="0.25">
      <c r="A40" s="8" t="s">
        <v>95</v>
      </c>
      <c r="B40" s="8" t="s">
        <v>454</v>
      </c>
      <c r="C40" s="8" t="s">
        <v>428</v>
      </c>
      <c r="D40" s="8" t="s">
        <v>429</v>
      </c>
      <c r="E40" s="8">
        <v>2022</v>
      </c>
      <c r="F40" s="154" t="str">
        <f t="shared" si="3"/>
        <v>DEFRA: GNL: WTT: 2022:: kWh (Gross CV)</v>
      </c>
      <c r="G40" s="94">
        <f>J40/'FE DEFRA A1. Fuel Eq'!E16/1000</f>
        <v>0.35400924164175041</v>
      </c>
      <c r="H40" s="206" t="s">
        <v>678</v>
      </c>
      <c r="I40" s="8" t="s">
        <v>134</v>
      </c>
      <c r="J40" s="91">
        <v>65.11999999999999</v>
      </c>
      <c r="K40" s="87" t="s">
        <v>20</v>
      </c>
      <c r="L40" s="224"/>
      <c r="M40" s="224"/>
      <c r="N40" s="224"/>
      <c r="O40" s="86">
        <f>L40*'PAG100 FE GE'!$E$2+M40*'PAG100 FE GE'!$E$3+N40*'PAG100 FE GE'!$E$4</f>
        <v>0</v>
      </c>
      <c r="P40" s="86">
        <f>L40*'PAG20 FE GE'!$E$2+M40*'PAG20 FE GE'!$E$3+N40*'PAG20 FE GE'!$E$4</f>
        <v>0</v>
      </c>
      <c r="Q40" s="86">
        <f>L40*'PAG100 FE GE'!$D$2+M40*'PAG100 FE GE'!$D$3+N40*'PAG100 FE GE'!$D$4</f>
        <v>0</v>
      </c>
      <c r="R40" s="86">
        <f>L40*'PAG20 FE GE'!$D$2+M40*'PAG20 FE GE'!$D$3+N40*'PAG20 FE GE'!$D$4</f>
        <v>0</v>
      </c>
      <c r="S40" s="86">
        <f>L40*'PAG100 FE GE'!$C$2+M40*'PAG100 FE GE'!$C$3+N40*'PAG100 FE GE'!$C$4</f>
        <v>0</v>
      </c>
      <c r="T40" s="86">
        <f>L40*'PAG20 FE GE'!$C$2+M40*'PAG20 FE GE'!$C$3+N40*'PAG20 FE GE'!$C$4</f>
        <v>0</v>
      </c>
      <c r="U40" s="20">
        <f t="shared" si="2"/>
        <v>65.11999999999999</v>
      </c>
    </row>
    <row r="41" spans="1:21" x14ac:dyDescent="0.25">
      <c r="A41" s="8" t="s">
        <v>44</v>
      </c>
      <c r="B41" s="8" t="s">
        <v>454</v>
      </c>
      <c r="C41" s="8" t="s">
        <v>428</v>
      </c>
      <c r="D41" s="8" t="s">
        <v>429</v>
      </c>
      <c r="E41" s="8">
        <v>2022</v>
      </c>
      <c r="F41" s="154" t="str">
        <f t="shared" si="3"/>
        <v>DEFRA: GPL: WTT: 2022:: tonnes</v>
      </c>
      <c r="G41" s="94">
        <f>J41/'FE DEFRA A1. Fuel Eq'!E17/1000</f>
        <v>0.11900218044549227</v>
      </c>
      <c r="H41" s="206" t="s">
        <v>678</v>
      </c>
      <c r="I41" s="8" t="s">
        <v>131</v>
      </c>
      <c r="J41" s="91">
        <v>349292.82</v>
      </c>
      <c r="K41" s="87" t="s">
        <v>20</v>
      </c>
      <c r="L41" s="224"/>
      <c r="M41" s="224"/>
      <c r="N41" s="224"/>
      <c r="O41" s="86">
        <f>L41*'PAG100 FE GE'!$E$2+M41*'PAG100 FE GE'!$E$3+N41*'PAG100 FE GE'!$E$4</f>
        <v>0</v>
      </c>
      <c r="P41" s="86">
        <f>L41*'PAG20 FE GE'!$E$2+M41*'PAG20 FE GE'!$E$3+N41*'PAG20 FE GE'!$E$4</f>
        <v>0</v>
      </c>
      <c r="Q41" s="86">
        <f>L41*'PAG100 FE GE'!$D$2+M41*'PAG100 FE GE'!$D$3+N41*'PAG100 FE GE'!$D$4</f>
        <v>0</v>
      </c>
      <c r="R41" s="86">
        <f>L41*'PAG20 FE GE'!$D$2+M41*'PAG20 FE GE'!$D$3+N41*'PAG20 FE GE'!$D$4</f>
        <v>0</v>
      </c>
      <c r="S41" s="86">
        <f>L41*'PAG100 FE GE'!$C$2+M41*'PAG100 FE GE'!$C$3+N41*'PAG100 FE GE'!$C$4</f>
        <v>0</v>
      </c>
      <c r="T41" s="86">
        <f>L41*'PAG20 FE GE'!$C$2+M41*'PAG20 FE GE'!$C$3+N41*'PAG20 FE GE'!$C$4</f>
        <v>0</v>
      </c>
      <c r="U41" s="20">
        <f t="shared" si="2"/>
        <v>349292.82</v>
      </c>
    </row>
    <row r="42" spans="1:21" x14ac:dyDescent="0.25">
      <c r="A42" s="8" t="s">
        <v>44</v>
      </c>
      <c r="B42" s="8" t="s">
        <v>454</v>
      </c>
      <c r="C42" s="8" t="s">
        <v>428</v>
      </c>
      <c r="D42" s="8" t="s">
        <v>429</v>
      </c>
      <c r="E42" s="8">
        <v>2022</v>
      </c>
      <c r="F42" s="154" t="str">
        <f t="shared" si="3"/>
        <v>DEFRA: GPL: WTT: 2022:: kg</v>
      </c>
      <c r="G42" s="94">
        <f>J42/'FE DEFRA A1. Fuel Eq'!E18/1000</f>
        <v>0.11900218044549227</v>
      </c>
      <c r="H42" s="206" t="s">
        <v>678</v>
      </c>
      <c r="I42" s="8" t="s">
        <v>57</v>
      </c>
      <c r="J42" s="91">
        <f>J41/1000</f>
        <v>349.29282000000001</v>
      </c>
      <c r="K42" s="87" t="s">
        <v>20</v>
      </c>
      <c r="L42" s="224"/>
      <c r="M42" s="224"/>
      <c r="N42" s="224"/>
      <c r="O42" s="86">
        <f>L42*'PAG100 FE GE'!$E$2+M42*'PAG100 FE GE'!$E$3+N42*'PAG100 FE GE'!$E$4</f>
        <v>0</v>
      </c>
      <c r="P42" s="86">
        <f>L42*'PAG20 FE GE'!$E$2+M42*'PAG20 FE GE'!$E$3+N42*'PAG20 FE GE'!$E$4</f>
        <v>0</v>
      </c>
      <c r="Q42" s="86">
        <f>L42*'PAG100 FE GE'!$D$2+M42*'PAG100 FE GE'!$D$3+N42*'PAG100 FE GE'!$D$4</f>
        <v>0</v>
      </c>
      <c r="R42" s="86">
        <f>L42*'PAG20 FE GE'!$D$2+M42*'PAG20 FE GE'!$D$3+N42*'PAG20 FE GE'!$D$4</f>
        <v>0</v>
      </c>
      <c r="S42" s="86">
        <f>L42*'PAG100 FE GE'!$C$2+M42*'PAG100 FE GE'!$C$3+N42*'PAG100 FE GE'!$C$4</f>
        <v>0</v>
      </c>
      <c r="T42" s="86">
        <f>L42*'PAG20 FE GE'!$C$2+M42*'PAG20 FE GE'!$C$3+N42*'PAG20 FE GE'!$C$4</f>
        <v>0</v>
      </c>
      <c r="U42" s="20">
        <f t="shared" si="2"/>
        <v>349.29282000000001</v>
      </c>
    </row>
    <row r="43" spans="1:21" x14ac:dyDescent="0.25">
      <c r="A43" s="8" t="s">
        <v>44</v>
      </c>
      <c r="B43" s="8" t="s">
        <v>454</v>
      </c>
      <c r="C43" s="8" t="s">
        <v>428</v>
      </c>
      <c r="D43" s="8" t="s">
        <v>429</v>
      </c>
      <c r="E43" s="8">
        <v>2022</v>
      </c>
      <c r="F43" s="154" t="str">
        <f t="shared" si="3"/>
        <v>DEFRA: GPL: WTT: 2022:: l</v>
      </c>
      <c r="G43" s="94">
        <f>J43/'FE DEFRA A1. Fuel Eq'!E19/1000</f>
        <v>0.11930594053675134</v>
      </c>
      <c r="H43" s="206" t="s">
        <v>678</v>
      </c>
      <c r="I43" s="8" t="s">
        <v>55</v>
      </c>
      <c r="J43" s="91">
        <v>185.51000000000002</v>
      </c>
      <c r="K43" s="87" t="s">
        <v>20</v>
      </c>
      <c r="L43" s="224"/>
      <c r="M43" s="224"/>
      <c r="N43" s="224"/>
      <c r="O43" s="86">
        <f>L43*'PAG100 FE GE'!$E$2+M43*'PAG100 FE GE'!$E$3+N43*'PAG100 FE GE'!$E$4</f>
        <v>0</v>
      </c>
      <c r="P43" s="86">
        <f>L43*'PAG20 FE GE'!$E$2+M43*'PAG20 FE GE'!$E$3+N43*'PAG20 FE GE'!$E$4</f>
        <v>0</v>
      </c>
      <c r="Q43" s="86">
        <f>L43*'PAG100 FE GE'!$D$2+M43*'PAG100 FE GE'!$D$3+N43*'PAG100 FE GE'!$D$4</f>
        <v>0</v>
      </c>
      <c r="R43" s="86">
        <f>L43*'PAG20 FE GE'!$D$2+M43*'PAG20 FE GE'!$D$3+N43*'PAG20 FE GE'!$D$4</f>
        <v>0</v>
      </c>
      <c r="S43" s="86">
        <f>L43*'PAG100 FE GE'!$C$2+M43*'PAG100 FE GE'!$C$3+N43*'PAG100 FE GE'!$C$4</f>
        <v>0</v>
      </c>
      <c r="T43" s="86">
        <f>L43*'PAG20 FE GE'!$C$2+M43*'PAG20 FE GE'!$C$3+N43*'PAG20 FE GE'!$C$4</f>
        <v>0</v>
      </c>
      <c r="U43" s="20">
        <f t="shared" si="2"/>
        <v>185.51000000000002</v>
      </c>
    </row>
    <row r="44" spans="1:21" x14ac:dyDescent="0.25">
      <c r="A44" s="8" t="s">
        <v>44</v>
      </c>
      <c r="B44" s="8" t="s">
        <v>454</v>
      </c>
      <c r="C44" s="8" t="s">
        <v>428</v>
      </c>
      <c r="D44" s="8" t="s">
        <v>429</v>
      </c>
      <c r="E44" s="8">
        <v>2022</v>
      </c>
      <c r="F44" s="154" t="str">
        <f t="shared" si="3"/>
        <v>DEFRA: GPL: WTT: 2022:: kWh (Net CV)</v>
      </c>
      <c r="G44" s="94">
        <f>J44/'FE DEFRA A1. Fuel Eq'!E20/1000</f>
        <v>0.11896169398669507</v>
      </c>
      <c r="H44" s="206" t="s">
        <v>678</v>
      </c>
      <c r="I44" s="8" t="s">
        <v>133</v>
      </c>
      <c r="J44" s="91">
        <v>27.36</v>
      </c>
      <c r="K44" s="87" t="s">
        <v>20</v>
      </c>
      <c r="L44" s="224"/>
      <c r="M44" s="224"/>
      <c r="N44" s="224"/>
      <c r="O44" s="86">
        <f>L44*'PAG100 FE GE'!$E$2+M44*'PAG100 FE GE'!$E$3+N44*'PAG100 FE GE'!$E$4</f>
        <v>0</v>
      </c>
      <c r="P44" s="86">
        <f>L44*'PAG20 FE GE'!$E$2+M44*'PAG20 FE GE'!$E$3+N44*'PAG20 FE GE'!$E$4</f>
        <v>0</v>
      </c>
      <c r="Q44" s="86">
        <f>L44*'PAG100 FE GE'!$D$2+M44*'PAG100 FE GE'!$D$3+N44*'PAG100 FE GE'!$D$4</f>
        <v>0</v>
      </c>
      <c r="R44" s="86">
        <f>L44*'PAG20 FE GE'!$D$2+M44*'PAG20 FE GE'!$D$3+N44*'PAG20 FE GE'!$D$4</f>
        <v>0</v>
      </c>
      <c r="S44" s="86">
        <f>L44*'PAG100 FE GE'!$C$2+M44*'PAG100 FE GE'!$C$3+N44*'PAG100 FE GE'!$C$4</f>
        <v>0</v>
      </c>
      <c r="T44" s="86">
        <f>L44*'PAG20 FE GE'!$C$2+M44*'PAG20 FE GE'!$C$3+N44*'PAG20 FE GE'!$C$4</f>
        <v>0</v>
      </c>
      <c r="U44" s="20">
        <f t="shared" si="2"/>
        <v>27.36</v>
      </c>
    </row>
    <row r="45" spans="1:21" x14ac:dyDescent="0.25">
      <c r="A45" s="8" t="s">
        <v>44</v>
      </c>
      <c r="B45" s="8" t="s">
        <v>454</v>
      </c>
      <c r="C45" s="8" t="s">
        <v>428</v>
      </c>
      <c r="D45" s="8" t="s">
        <v>429</v>
      </c>
      <c r="E45" s="8">
        <v>2022</v>
      </c>
      <c r="F45" s="154" t="str">
        <f t="shared" si="3"/>
        <v>DEFRA: GPL: WTT: 2022:: kWh (Gross CV)</v>
      </c>
      <c r="G45" s="94">
        <f>J45/'FE DEFRA A1. Fuel Eq'!E21/1000</f>
        <v>0.1189598020449134</v>
      </c>
      <c r="H45" s="206" t="s">
        <v>678</v>
      </c>
      <c r="I45" s="8" t="s">
        <v>134</v>
      </c>
      <c r="J45" s="91">
        <v>25.48</v>
      </c>
      <c r="K45" s="87" t="s">
        <v>20</v>
      </c>
      <c r="L45" s="224"/>
      <c r="M45" s="224"/>
      <c r="N45" s="224"/>
      <c r="O45" s="86">
        <f>L45*'PAG100 FE GE'!$E$2+M45*'PAG100 FE GE'!$E$3+N45*'PAG100 FE GE'!$E$4</f>
        <v>0</v>
      </c>
      <c r="P45" s="86">
        <f>L45*'PAG20 FE GE'!$E$2+M45*'PAG20 FE GE'!$E$3+N45*'PAG20 FE GE'!$E$4</f>
        <v>0</v>
      </c>
      <c r="Q45" s="86">
        <f>L45*'PAG100 FE GE'!$D$2+M45*'PAG100 FE GE'!$D$3+N45*'PAG100 FE GE'!$D$4</f>
        <v>0</v>
      </c>
      <c r="R45" s="86">
        <f>L45*'PAG20 FE GE'!$D$2+M45*'PAG20 FE GE'!$D$3+N45*'PAG20 FE GE'!$D$4</f>
        <v>0</v>
      </c>
      <c r="S45" s="86">
        <f>L45*'PAG100 FE GE'!$C$2+M45*'PAG100 FE GE'!$C$3+N45*'PAG100 FE GE'!$C$4</f>
        <v>0</v>
      </c>
      <c r="T45" s="86">
        <f>L45*'PAG20 FE GE'!$C$2+M45*'PAG20 FE GE'!$C$3+N45*'PAG20 FE GE'!$C$4</f>
        <v>0</v>
      </c>
      <c r="U45" s="20">
        <f t="shared" si="2"/>
        <v>25.48</v>
      </c>
    </row>
    <row r="46" spans="1:21" x14ac:dyDescent="0.25">
      <c r="A46" s="8" t="s">
        <v>109</v>
      </c>
      <c r="B46" s="8" t="s">
        <v>454</v>
      </c>
      <c r="C46" s="8" t="s">
        <v>428</v>
      </c>
      <c r="D46" s="8" t="s">
        <v>429</v>
      </c>
      <c r="E46" s="8">
        <v>2022</v>
      </c>
      <c r="F46" s="154" t="str">
        <f t="shared" si="3"/>
        <v>DEFRA: GN: WTT: 2022:: tonnes</v>
      </c>
      <c r="G46" s="94">
        <f>J46/'FE DEFRA A1. Fuel Eq'!E22/1000</f>
        <v>0.1654579535723921</v>
      </c>
      <c r="H46" s="206" t="s">
        <v>678</v>
      </c>
      <c r="I46" s="8" t="s">
        <v>131</v>
      </c>
      <c r="J46" s="91">
        <v>423163.68</v>
      </c>
      <c r="K46" s="87" t="s">
        <v>20</v>
      </c>
      <c r="L46" s="224"/>
      <c r="M46" s="224"/>
      <c r="N46" s="224"/>
      <c r="O46" s="86">
        <f>L46*'PAG100 FE GE'!$E$2+M46*'PAG100 FE GE'!$E$3+N46*'PAG100 FE GE'!$E$4</f>
        <v>0</v>
      </c>
      <c r="P46" s="86">
        <f>L46*'PAG20 FE GE'!$E$2+M46*'PAG20 FE GE'!$E$3+N46*'PAG20 FE GE'!$E$4</f>
        <v>0</v>
      </c>
      <c r="Q46" s="86">
        <f>L46*'PAG100 FE GE'!$D$2+M46*'PAG100 FE GE'!$D$3+N46*'PAG100 FE GE'!$D$4</f>
        <v>0</v>
      </c>
      <c r="R46" s="86">
        <f>L46*'PAG20 FE GE'!$D$2+M46*'PAG20 FE GE'!$D$3+N46*'PAG20 FE GE'!$D$4</f>
        <v>0</v>
      </c>
      <c r="S46" s="86">
        <f>L46*'PAG100 FE GE'!$C$2+M46*'PAG100 FE GE'!$C$3+N46*'PAG100 FE GE'!$C$4</f>
        <v>0</v>
      </c>
      <c r="T46" s="86">
        <f>L46*'PAG20 FE GE'!$C$2+M46*'PAG20 FE GE'!$C$3+N46*'PAG20 FE GE'!$C$4</f>
        <v>0</v>
      </c>
      <c r="U46" s="20">
        <f t="shared" si="2"/>
        <v>423163.68</v>
      </c>
    </row>
    <row r="47" spans="1:21" x14ac:dyDescent="0.25">
      <c r="A47" s="8" t="s">
        <v>109</v>
      </c>
      <c r="B47" s="8" t="s">
        <v>454</v>
      </c>
      <c r="C47" s="8" t="s">
        <v>428</v>
      </c>
      <c r="D47" s="8" t="s">
        <v>429</v>
      </c>
      <c r="E47" s="8">
        <v>2022</v>
      </c>
      <c r="F47" s="154" t="str">
        <f t="shared" si="3"/>
        <v>DEFRA: GN: WTT: 2022:: kg</v>
      </c>
      <c r="G47" s="94">
        <f>J47/'FE DEFRA A1. Fuel Eq'!E23/1000</f>
        <v>0.1654579535723921</v>
      </c>
      <c r="H47" s="206" t="s">
        <v>678</v>
      </c>
      <c r="I47" s="8" t="s">
        <v>57</v>
      </c>
      <c r="J47" s="91">
        <f>J46/1000</f>
        <v>423.16368</v>
      </c>
      <c r="K47" s="87" t="s">
        <v>20</v>
      </c>
      <c r="L47" s="224"/>
      <c r="M47" s="224"/>
      <c r="N47" s="224"/>
      <c r="O47" s="86">
        <f>L47*'PAG100 FE GE'!$E$2+M47*'PAG100 FE GE'!$E$3+N47*'PAG100 FE GE'!$E$4</f>
        <v>0</v>
      </c>
      <c r="P47" s="86">
        <f>L47*'PAG20 FE GE'!$E$2+M47*'PAG20 FE GE'!$E$3+N47*'PAG20 FE GE'!$E$4</f>
        <v>0</v>
      </c>
      <c r="Q47" s="86">
        <f>L47*'PAG100 FE GE'!$D$2+M47*'PAG100 FE GE'!$D$3+N47*'PAG100 FE GE'!$D$4</f>
        <v>0</v>
      </c>
      <c r="R47" s="86">
        <f>L47*'PAG20 FE GE'!$D$2+M47*'PAG20 FE GE'!$D$3+N47*'PAG20 FE GE'!$D$4</f>
        <v>0</v>
      </c>
      <c r="S47" s="86">
        <f>L47*'PAG100 FE GE'!$C$2+M47*'PAG100 FE GE'!$C$3+N47*'PAG100 FE GE'!$C$4</f>
        <v>0</v>
      </c>
      <c r="T47" s="86">
        <f>L47*'PAG20 FE GE'!$C$2+M47*'PAG20 FE GE'!$C$3+N47*'PAG20 FE GE'!$C$4</f>
        <v>0</v>
      </c>
      <c r="U47" s="20">
        <f t="shared" si="2"/>
        <v>423.16368</v>
      </c>
    </row>
    <row r="48" spans="1:21" x14ac:dyDescent="0.25">
      <c r="A48" s="8" t="s">
        <v>109</v>
      </c>
      <c r="B48" s="8" t="s">
        <v>454</v>
      </c>
      <c r="C48" s="8" t="s">
        <v>428</v>
      </c>
      <c r="D48" s="8" t="s">
        <v>429</v>
      </c>
      <c r="E48" s="8">
        <v>2022</v>
      </c>
      <c r="F48" s="154" t="str">
        <f t="shared" si="3"/>
        <v>DEFRA: GN: WTT: 2022:: Nm3</v>
      </c>
      <c r="G48" s="94">
        <f>J48/'FE DEFRA A1. Fuel Eq'!E24/1000</f>
        <v>0.16545662785039103</v>
      </c>
      <c r="H48" s="206" t="s">
        <v>678</v>
      </c>
      <c r="I48" s="8" t="s">
        <v>56</v>
      </c>
      <c r="J48" s="91">
        <v>336.6</v>
      </c>
      <c r="K48" s="87" t="s">
        <v>20</v>
      </c>
      <c r="L48" s="224"/>
      <c r="M48" s="224"/>
      <c r="N48" s="224"/>
      <c r="O48" s="86">
        <f>L48*'PAG100 FE GE'!$E$2+M48*'PAG100 FE GE'!$E$3+N48*'PAG100 FE GE'!$E$4</f>
        <v>0</v>
      </c>
      <c r="P48" s="86">
        <f>L48*'PAG20 FE GE'!$E$2+M48*'PAG20 FE GE'!$E$3+N48*'PAG20 FE GE'!$E$4</f>
        <v>0</v>
      </c>
      <c r="Q48" s="86">
        <f>L48*'PAG100 FE GE'!$D$2+M48*'PAG100 FE GE'!$D$3+N48*'PAG100 FE GE'!$D$4</f>
        <v>0</v>
      </c>
      <c r="R48" s="86">
        <f>L48*'PAG20 FE GE'!$D$2+M48*'PAG20 FE GE'!$D$3+N48*'PAG20 FE GE'!$D$4</f>
        <v>0</v>
      </c>
      <c r="S48" s="86">
        <f>L48*'PAG100 FE GE'!$C$2+M48*'PAG100 FE GE'!$C$3+N48*'PAG100 FE GE'!$C$4</f>
        <v>0</v>
      </c>
      <c r="T48" s="86">
        <f>L48*'PAG20 FE GE'!$C$2+M48*'PAG20 FE GE'!$C$3+N48*'PAG20 FE GE'!$C$4</f>
        <v>0</v>
      </c>
      <c r="U48" s="20">
        <f t="shared" si="2"/>
        <v>336.6</v>
      </c>
    </row>
    <row r="49" spans="1:21" x14ac:dyDescent="0.25">
      <c r="A49" s="8" t="s">
        <v>109</v>
      </c>
      <c r="B49" s="8" t="s">
        <v>454</v>
      </c>
      <c r="C49" s="8" t="s">
        <v>428</v>
      </c>
      <c r="D49" s="8" t="s">
        <v>429</v>
      </c>
      <c r="E49" s="8">
        <v>2022</v>
      </c>
      <c r="F49" s="154" t="str">
        <f t="shared" si="3"/>
        <v>DEFRA: GN: WTT: 2022:: kWh (Net CV)</v>
      </c>
      <c r="G49" s="94">
        <f>J49/'FE DEFRA A1. Fuel Eq'!E25/1000</f>
        <v>0.16548007515079602</v>
      </c>
      <c r="H49" s="206" t="s">
        <v>678</v>
      </c>
      <c r="I49" s="8" t="s">
        <v>133</v>
      </c>
      <c r="J49" s="91">
        <v>33.47</v>
      </c>
      <c r="K49" s="87" t="s">
        <v>20</v>
      </c>
      <c r="L49" s="224"/>
      <c r="M49" s="224"/>
      <c r="N49" s="224"/>
      <c r="O49" s="86">
        <f>L49*'PAG100 FE GE'!$E$2+M49*'PAG100 FE GE'!$E$3+N49*'PAG100 FE GE'!$E$4</f>
        <v>0</v>
      </c>
      <c r="P49" s="86">
        <f>L49*'PAG20 FE GE'!$E$2+M49*'PAG20 FE GE'!$E$3+N49*'PAG20 FE GE'!$E$4</f>
        <v>0</v>
      </c>
      <c r="Q49" s="86">
        <f>L49*'PAG100 FE GE'!$D$2+M49*'PAG100 FE GE'!$D$3+N49*'PAG100 FE GE'!$D$4</f>
        <v>0</v>
      </c>
      <c r="R49" s="86">
        <f>L49*'PAG20 FE GE'!$D$2+M49*'PAG20 FE GE'!$D$3+N49*'PAG20 FE GE'!$D$4</f>
        <v>0</v>
      </c>
      <c r="S49" s="86">
        <f>L49*'PAG100 FE GE'!$C$2+M49*'PAG100 FE GE'!$C$3+N49*'PAG100 FE GE'!$C$4</f>
        <v>0</v>
      </c>
      <c r="T49" s="86">
        <f>L49*'PAG20 FE GE'!$C$2+M49*'PAG20 FE GE'!$C$3+N49*'PAG20 FE GE'!$C$4</f>
        <v>0</v>
      </c>
      <c r="U49" s="20">
        <f t="shared" si="2"/>
        <v>33.47</v>
      </c>
    </row>
    <row r="50" spans="1:21" x14ac:dyDescent="0.25">
      <c r="A50" s="8" t="s">
        <v>109</v>
      </c>
      <c r="B50" s="8" t="s">
        <v>454</v>
      </c>
      <c r="C50" s="8" t="s">
        <v>428</v>
      </c>
      <c r="D50" s="8" t="s">
        <v>429</v>
      </c>
      <c r="E50" s="8">
        <v>2022</v>
      </c>
      <c r="F50" s="154" t="str">
        <f t="shared" si="3"/>
        <v>DEFRA: GN: WTT: 2022:: kWh (Gross CV)</v>
      </c>
      <c r="G50" s="94">
        <f>J50/'FE DEFRA A1. Fuel Eq'!E26/1000</f>
        <v>0.16547984224364592</v>
      </c>
      <c r="H50" s="206" t="s">
        <v>678</v>
      </c>
      <c r="I50" s="8" t="s">
        <v>134</v>
      </c>
      <c r="J50" s="91">
        <v>30.21</v>
      </c>
      <c r="K50" s="87" t="s">
        <v>20</v>
      </c>
      <c r="L50" s="224"/>
      <c r="M50" s="224"/>
      <c r="N50" s="224"/>
      <c r="O50" s="86">
        <f>L50*'PAG100 FE GE'!$E$2+M50*'PAG100 FE GE'!$E$3+N50*'PAG100 FE GE'!$E$4</f>
        <v>0</v>
      </c>
      <c r="P50" s="86">
        <f>L50*'PAG20 FE GE'!$E$2+M50*'PAG20 FE GE'!$E$3+N50*'PAG20 FE GE'!$E$4</f>
        <v>0</v>
      </c>
      <c r="Q50" s="86">
        <f>L50*'PAG100 FE GE'!$D$2+M50*'PAG100 FE GE'!$D$3+N50*'PAG100 FE GE'!$D$4</f>
        <v>0</v>
      </c>
      <c r="R50" s="86">
        <f>L50*'PAG20 FE GE'!$D$2+M50*'PAG20 FE GE'!$D$3+N50*'PAG20 FE GE'!$D$4</f>
        <v>0</v>
      </c>
      <c r="S50" s="86">
        <f>L50*'PAG100 FE GE'!$C$2+M50*'PAG100 FE GE'!$C$3+N50*'PAG100 FE GE'!$C$4</f>
        <v>0</v>
      </c>
      <c r="T50" s="86">
        <f>L50*'PAG20 FE GE'!$C$2+M50*'PAG20 FE GE'!$C$3+N50*'PAG20 FE GE'!$C$4</f>
        <v>0</v>
      </c>
      <c r="U50" s="20">
        <f t="shared" si="2"/>
        <v>30.21</v>
      </c>
    </row>
    <row r="51" spans="1:21" x14ac:dyDescent="0.25">
      <c r="A51" s="8" t="s">
        <v>232</v>
      </c>
      <c r="B51" s="8" t="s">
        <v>454</v>
      </c>
      <c r="C51" s="8" t="s">
        <v>428</v>
      </c>
      <c r="D51" s="8" t="s">
        <v>429</v>
      </c>
      <c r="E51" s="8">
        <v>2022</v>
      </c>
      <c r="F51" s="154" t="str">
        <f t="shared" si="3"/>
        <v>DEFRA: GN (100% fossil): WTT: 2022:: tonnes</v>
      </c>
      <c r="G51" s="94">
        <f>J51/'FE DEFRA A1. Fuel Eq'!E27/1000</f>
        <v>0.16421169293813592</v>
      </c>
      <c r="H51" s="206" t="s">
        <v>678</v>
      </c>
      <c r="I51" s="8" t="s">
        <v>131</v>
      </c>
      <c r="J51" s="91">
        <v>423163.68</v>
      </c>
      <c r="K51" s="87" t="s">
        <v>20</v>
      </c>
      <c r="L51" s="224"/>
      <c r="M51" s="224"/>
      <c r="N51" s="224"/>
      <c r="O51" s="86">
        <f>L51*'PAG100 FE GE'!$E$2+M51*'PAG100 FE GE'!$E$3+N51*'PAG100 FE GE'!$E$4</f>
        <v>0</v>
      </c>
      <c r="P51" s="86">
        <f>L51*'PAG20 FE GE'!$E$2+M51*'PAG20 FE GE'!$E$3+N51*'PAG20 FE GE'!$E$4</f>
        <v>0</v>
      </c>
      <c r="Q51" s="86">
        <f>L51*'PAG100 FE GE'!$D$2+M51*'PAG100 FE GE'!$D$3+N51*'PAG100 FE GE'!$D$4</f>
        <v>0</v>
      </c>
      <c r="R51" s="86">
        <f>L51*'PAG20 FE GE'!$D$2+M51*'PAG20 FE GE'!$D$3+N51*'PAG20 FE GE'!$D$4</f>
        <v>0</v>
      </c>
      <c r="S51" s="86">
        <f>L51*'PAG100 FE GE'!$C$2+M51*'PAG100 FE GE'!$C$3+N51*'PAG100 FE GE'!$C$4</f>
        <v>0</v>
      </c>
      <c r="T51" s="86">
        <f>L51*'PAG20 FE GE'!$C$2+M51*'PAG20 FE GE'!$C$3+N51*'PAG20 FE GE'!$C$4</f>
        <v>0</v>
      </c>
      <c r="U51" s="20">
        <f t="shared" si="2"/>
        <v>423163.68</v>
      </c>
    </row>
    <row r="52" spans="1:21" x14ac:dyDescent="0.25">
      <c r="A52" s="8" t="s">
        <v>232</v>
      </c>
      <c r="B52" s="8" t="s">
        <v>454</v>
      </c>
      <c r="C52" s="8" t="s">
        <v>428</v>
      </c>
      <c r="D52" s="8" t="s">
        <v>429</v>
      </c>
      <c r="E52" s="8">
        <v>2022</v>
      </c>
      <c r="F52" s="154" t="str">
        <f t="shared" si="3"/>
        <v>DEFRA: GN (100% fossil): WTT: 2022:: kg</v>
      </c>
      <c r="G52" s="94">
        <f>J52/'FE DEFRA A1. Fuel Eq'!E28/1000</f>
        <v>0.16421169293813595</v>
      </c>
      <c r="H52" s="206" t="s">
        <v>678</v>
      </c>
      <c r="I52" s="8" t="s">
        <v>57</v>
      </c>
      <c r="J52" s="91">
        <f>J51/1000</f>
        <v>423.16368</v>
      </c>
      <c r="K52" s="87" t="s">
        <v>20</v>
      </c>
      <c r="L52" s="224"/>
      <c r="M52" s="224"/>
      <c r="N52" s="224"/>
      <c r="O52" s="86">
        <f>L52*'PAG100 FE GE'!$E$2+M52*'PAG100 FE GE'!$E$3+N52*'PAG100 FE GE'!$E$4</f>
        <v>0</v>
      </c>
      <c r="P52" s="86">
        <f>L52*'PAG20 FE GE'!$E$2+M52*'PAG20 FE GE'!$E$3+N52*'PAG20 FE GE'!$E$4</f>
        <v>0</v>
      </c>
      <c r="Q52" s="86">
        <f>L52*'PAG100 FE GE'!$D$2+M52*'PAG100 FE GE'!$D$3+N52*'PAG100 FE GE'!$D$4</f>
        <v>0</v>
      </c>
      <c r="R52" s="86">
        <f>L52*'PAG20 FE GE'!$D$2+M52*'PAG20 FE GE'!$D$3+N52*'PAG20 FE GE'!$D$4</f>
        <v>0</v>
      </c>
      <c r="S52" s="86">
        <f>L52*'PAG100 FE GE'!$C$2+M52*'PAG100 FE GE'!$C$3+N52*'PAG100 FE GE'!$C$4</f>
        <v>0</v>
      </c>
      <c r="T52" s="86">
        <f>L52*'PAG20 FE GE'!$C$2+M52*'PAG20 FE GE'!$C$3+N52*'PAG20 FE GE'!$C$4</f>
        <v>0</v>
      </c>
      <c r="U52" s="20">
        <f t="shared" si="2"/>
        <v>423.16368</v>
      </c>
    </row>
    <row r="53" spans="1:21" x14ac:dyDescent="0.25">
      <c r="A53" s="8" t="s">
        <v>232</v>
      </c>
      <c r="B53" s="8" t="s">
        <v>454</v>
      </c>
      <c r="C53" s="8" t="s">
        <v>428</v>
      </c>
      <c r="D53" s="8" t="s">
        <v>429</v>
      </c>
      <c r="E53" s="8">
        <v>2022</v>
      </c>
      <c r="F53" s="154" t="str">
        <f t="shared" si="3"/>
        <v>DEFRA: GN (100% fossil): WTT: 2022:: m3</v>
      </c>
      <c r="G53" s="94">
        <f>J53/'FE DEFRA A1. Fuel Eq'!E29/1000</f>
        <v>0.16421034144628041</v>
      </c>
      <c r="H53" s="206" t="s">
        <v>678</v>
      </c>
      <c r="I53" s="154" t="s">
        <v>461</v>
      </c>
      <c r="J53" s="91">
        <v>336.6</v>
      </c>
      <c r="K53" s="87" t="s">
        <v>20</v>
      </c>
      <c r="L53" s="224"/>
      <c r="M53" s="224"/>
      <c r="N53" s="224"/>
      <c r="O53" s="86">
        <f>L53*'PAG100 FE GE'!$E$2+M53*'PAG100 FE GE'!$E$3+N53*'PAG100 FE GE'!$E$4</f>
        <v>0</v>
      </c>
      <c r="P53" s="86">
        <f>L53*'PAG20 FE GE'!$E$2+M53*'PAG20 FE GE'!$E$3+N53*'PAG20 FE GE'!$E$4</f>
        <v>0</v>
      </c>
      <c r="Q53" s="86">
        <f>L53*'PAG100 FE GE'!$D$2+M53*'PAG100 FE GE'!$D$3+N53*'PAG100 FE GE'!$D$4</f>
        <v>0</v>
      </c>
      <c r="R53" s="86">
        <f>L53*'PAG20 FE GE'!$D$2+M53*'PAG20 FE GE'!$D$3+N53*'PAG20 FE GE'!$D$4</f>
        <v>0</v>
      </c>
      <c r="S53" s="86">
        <f>L53*'PAG100 FE GE'!$C$2+M53*'PAG100 FE GE'!$C$3+N53*'PAG100 FE GE'!$C$4</f>
        <v>0</v>
      </c>
      <c r="T53" s="86">
        <f>L53*'PAG20 FE GE'!$C$2+M53*'PAG20 FE GE'!$C$3+N53*'PAG20 FE GE'!$C$4</f>
        <v>0</v>
      </c>
      <c r="U53" s="20">
        <f t="shared" si="2"/>
        <v>336.6</v>
      </c>
    </row>
    <row r="54" spans="1:21" x14ac:dyDescent="0.25">
      <c r="A54" s="8" t="s">
        <v>232</v>
      </c>
      <c r="B54" s="8" t="s">
        <v>454</v>
      </c>
      <c r="C54" s="8" t="s">
        <v>428</v>
      </c>
      <c r="D54" s="8" t="s">
        <v>429</v>
      </c>
      <c r="E54" s="8">
        <v>2022</v>
      </c>
      <c r="F54" s="154" t="str">
        <f t="shared" si="3"/>
        <v>DEFRA: GN (100% fossil): WTT: 2022:: kWh (Net CV)</v>
      </c>
      <c r="G54" s="94">
        <f>J54/'FE DEFRA A1. Fuel Eq'!E30/1000</f>
        <v>0.16423769566710827</v>
      </c>
      <c r="H54" s="206" t="s">
        <v>678</v>
      </c>
      <c r="I54" s="8" t="s">
        <v>133</v>
      </c>
      <c r="J54" s="91">
        <v>33.47</v>
      </c>
      <c r="K54" s="87" t="s">
        <v>20</v>
      </c>
      <c r="L54" s="224"/>
      <c r="M54" s="224"/>
      <c r="N54" s="224"/>
      <c r="O54" s="86">
        <f>L54*'PAG100 FE GE'!$E$2+M54*'PAG100 FE GE'!$E$3+N54*'PAG100 FE GE'!$E$4</f>
        <v>0</v>
      </c>
      <c r="P54" s="86">
        <f>L54*'PAG20 FE GE'!$E$2+M54*'PAG20 FE GE'!$E$3+N54*'PAG20 FE GE'!$E$4</f>
        <v>0</v>
      </c>
      <c r="Q54" s="86">
        <f>L54*'PAG100 FE GE'!$D$2+M54*'PAG100 FE GE'!$D$3+N54*'PAG100 FE GE'!$D$4</f>
        <v>0</v>
      </c>
      <c r="R54" s="86">
        <f>L54*'PAG20 FE GE'!$D$2+M54*'PAG20 FE GE'!$D$3+N54*'PAG20 FE GE'!$D$4</f>
        <v>0</v>
      </c>
      <c r="S54" s="86">
        <f>L54*'PAG100 FE GE'!$C$2+M54*'PAG100 FE GE'!$C$3+N54*'PAG100 FE GE'!$C$4</f>
        <v>0</v>
      </c>
      <c r="T54" s="86">
        <f>L54*'PAG20 FE GE'!$C$2+M54*'PAG20 FE GE'!$C$3+N54*'PAG20 FE GE'!$C$4</f>
        <v>0</v>
      </c>
      <c r="U54" s="20">
        <f t="shared" si="2"/>
        <v>33.47</v>
      </c>
    </row>
    <row r="55" spans="1:21" x14ac:dyDescent="0.25">
      <c r="A55" s="8" t="s">
        <v>232</v>
      </c>
      <c r="B55" s="8" t="s">
        <v>454</v>
      </c>
      <c r="C55" s="8" t="s">
        <v>428</v>
      </c>
      <c r="D55" s="8" t="s">
        <v>429</v>
      </c>
      <c r="E55" s="8">
        <v>2022</v>
      </c>
      <c r="F55" s="154" t="str">
        <f t="shared" si="3"/>
        <v>DEFRA: GN (100% fossil): WTT: 2022:: kWh (Gross CV)</v>
      </c>
      <c r="G55" s="94">
        <f>J55/'FE DEFRA A1. Fuel Eq'!E31/1000</f>
        <v>0.16422941016580592</v>
      </c>
      <c r="H55" s="206" t="s">
        <v>678</v>
      </c>
      <c r="I55" s="8" t="s">
        <v>134</v>
      </c>
      <c r="J55" s="91">
        <v>30.21</v>
      </c>
      <c r="K55" s="87" t="s">
        <v>20</v>
      </c>
      <c r="L55" s="224"/>
      <c r="M55" s="224"/>
      <c r="N55" s="224"/>
      <c r="O55" s="86">
        <f>L55*'PAG100 FE GE'!$E$2+M55*'PAG100 FE GE'!$E$3+N55*'PAG100 FE GE'!$E$4</f>
        <v>0</v>
      </c>
      <c r="P55" s="86">
        <f>L55*'PAG20 FE GE'!$E$2+M55*'PAG20 FE GE'!$E$3+N55*'PAG20 FE GE'!$E$4</f>
        <v>0</v>
      </c>
      <c r="Q55" s="86">
        <f>L55*'PAG100 FE GE'!$D$2+M55*'PAG100 FE GE'!$D$3+N55*'PAG100 FE GE'!$D$4</f>
        <v>0</v>
      </c>
      <c r="R55" s="86">
        <f>L55*'PAG20 FE GE'!$D$2+M55*'PAG20 FE GE'!$D$3+N55*'PAG20 FE GE'!$D$4</f>
        <v>0</v>
      </c>
      <c r="S55" s="86">
        <f>L55*'PAG100 FE GE'!$C$2+M55*'PAG100 FE GE'!$C$3+N55*'PAG100 FE GE'!$C$4</f>
        <v>0</v>
      </c>
      <c r="T55" s="86">
        <f>L55*'PAG20 FE GE'!$C$2+M55*'PAG20 FE GE'!$C$3+N55*'PAG20 FE GE'!$C$4</f>
        <v>0</v>
      </c>
      <c r="U55" s="20">
        <f t="shared" si="2"/>
        <v>30.21</v>
      </c>
    </row>
    <row r="56" spans="1:21" x14ac:dyDescent="0.25">
      <c r="A56" s="8" t="s">
        <v>233</v>
      </c>
      <c r="B56" s="8" t="s">
        <v>454</v>
      </c>
      <c r="C56" s="8" t="s">
        <v>428</v>
      </c>
      <c r="D56" s="8" t="s">
        <v>429</v>
      </c>
      <c r="E56" s="8">
        <v>2022</v>
      </c>
      <c r="F56" s="154" t="str">
        <f t="shared" si="3"/>
        <v>DEFRA: Propano: WTT: 2022:: kg</v>
      </c>
      <c r="G56" s="94">
        <f>J56/'FE DEFRA A1. Fuel Eq'!E32/1000</f>
        <v>0.11781592169439434</v>
      </c>
      <c r="H56" s="206" t="s">
        <v>678</v>
      </c>
      <c r="I56" s="8" t="s">
        <v>57</v>
      </c>
      <c r="J56" s="91">
        <v>352670.18</v>
      </c>
      <c r="K56" s="87" t="s">
        <v>20</v>
      </c>
      <c r="L56" s="224"/>
      <c r="M56" s="224"/>
      <c r="N56" s="224"/>
      <c r="O56" s="86">
        <f>L56*'PAG100 FE GE'!$E$2+M56*'PAG100 FE GE'!$E$3+N56*'PAG100 FE GE'!$E$4</f>
        <v>0</v>
      </c>
      <c r="P56" s="86">
        <f>L56*'PAG20 FE GE'!$E$2+M56*'PAG20 FE GE'!$E$3+N56*'PAG20 FE GE'!$E$4</f>
        <v>0</v>
      </c>
      <c r="Q56" s="86">
        <f>L56*'PAG100 FE GE'!$D$2+M56*'PAG100 FE GE'!$D$3+N56*'PAG100 FE GE'!$D$4</f>
        <v>0</v>
      </c>
      <c r="R56" s="86">
        <f>L56*'PAG20 FE GE'!$D$2+M56*'PAG20 FE GE'!$D$3+N56*'PAG20 FE GE'!$D$4</f>
        <v>0</v>
      </c>
      <c r="S56" s="86">
        <f>L56*'PAG100 FE GE'!$C$2+M56*'PAG100 FE GE'!$C$3+N56*'PAG100 FE GE'!$C$4</f>
        <v>0</v>
      </c>
      <c r="T56" s="86">
        <f>L56*'PAG20 FE GE'!$C$2+M56*'PAG20 FE GE'!$C$3+N56*'PAG20 FE GE'!$C$4</f>
        <v>0</v>
      </c>
      <c r="U56" s="20">
        <f t="shared" si="2"/>
        <v>352670.18</v>
      </c>
    </row>
    <row r="57" spans="1:21" x14ac:dyDescent="0.25">
      <c r="A57" s="8" t="s">
        <v>233</v>
      </c>
      <c r="B57" s="8" t="s">
        <v>454</v>
      </c>
      <c r="C57" s="8" t="s">
        <v>428</v>
      </c>
      <c r="D57" s="8" t="s">
        <v>429</v>
      </c>
      <c r="E57" s="8">
        <v>2022</v>
      </c>
      <c r="F57" s="154" t="str">
        <f t="shared" si="3"/>
        <v>DEFRA: Propano: WTT: 2022:: m3</v>
      </c>
      <c r="G57" s="94">
        <f>J57/'FE DEFRA A1. Fuel Eq'!E33/1000</f>
        <v>0.11781592169439434</v>
      </c>
      <c r="H57" s="206" t="s">
        <v>678</v>
      </c>
      <c r="I57" s="8" t="s">
        <v>461</v>
      </c>
      <c r="J57" s="91">
        <f>J56/1000</f>
        <v>352.67018000000002</v>
      </c>
      <c r="K57" s="87" t="s">
        <v>20</v>
      </c>
      <c r="L57" s="224"/>
      <c r="M57" s="224"/>
      <c r="N57" s="224"/>
      <c r="O57" s="86">
        <f>L57*'PAG100 FE GE'!$E$2+M57*'PAG100 FE GE'!$E$3+N57*'PAG100 FE GE'!$E$4</f>
        <v>0</v>
      </c>
      <c r="P57" s="86">
        <f>L57*'PAG20 FE GE'!$E$2+M57*'PAG20 FE GE'!$E$3+N57*'PAG20 FE GE'!$E$4</f>
        <v>0</v>
      </c>
      <c r="Q57" s="86">
        <f>L57*'PAG100 FE GE'!$D$2+M57*'PAG100 FE GE'!$D$3+N57*'PAG100 FE GE'!$D$4</f>
        <v>0</v>
      </c>
      <c r="R57" s="86">
        <f>L57*'PAG20 FE GE'!$D$2+M57*'PAG20 FE GE'!$D$3+N57*'PAG20 FE GE'!$D$4</f>
        <v>0</v>
      </c>
      <c r="S57" s="86">
        <f>L57*'PAG100 FE GE'!$C$2+M57*'PAG100 FE GE'!$C$3+N57*'PAG100 FE GE'!$C$4</f>
        <v>0</v>
      </c>
      <c r="T57" s="86">
        <f>L57*'PAG20 FE GE'!$C$2+M57*'PAG20 FE GE'!$C$3+N57*'PAG20 FE GE'!$C$4</f>
        <v>0</v>
      </c>
      <c r="U57" s="20">
        <f t="shared" si="2"/>
        <v>352.67018000000002</v>
      </c>
    </row>
    <row r="58" spans="1:21" x14ac:dyDescent="0.25">
      <c r="A58" s="8" t="s">
        <v>233</v>
      </c>
      <c r="B58" s="8" t="s">
        <v>454</v>
      </c>
      <c r="C58" s="8" t="s">
        <v>428</v>
      </c>
      <c r="D58" s="8" t="s">
        <v>429</v>
      </c>
      <c r="E58" s="8">
        <v>2022</v>
      </c>
      <c r="F58" s="154" t="str">
        <f t="shared" si="3"/>
        <v>DEFRA: Propano: WTT: 2022:: l</v>
      </c>
      <c r="G58" s="94">
        <f>J58/'FE DEFRA A1. Fuel Eq'!E34/1000</f>
        <v>0.1178798494874789</v>
      </c>
      <c r="H58" s="206" t="s">
        <v>678</v>
      </c>
      <c r="I58" s="8" t="s">
        <v>55</v>
      </c>
      <c r="J58" s="91">
        <v>181.7</v>
      </c>
      <c r="K58" s="87" t="s">
        <v>20</v>
      </c>
      <c r="L58" s="224"/>
      <c r="M58" s="224"/>
      <c r="N58" s="224"/>
      <c r="O58" s="86">
        <f>L58*'PAG100 FE GE'!$E$2+M58*'PAG100 FE GE'!$E$3+N58*'PAG100 FE GE'!$E$4</f>
        <v>0</v>
      </c>
      <c r="P58" s="86">
        <f>L58*'PAG20 FE GE'!$E$2+M58*'PAG20 FE GE'!$E$3+N58*'PAG20 FE GE'!$E$4</f>
        <v>0</v>
      </c>
      <c r="Q58" s="86">
        <f>L58*'PAG100 FE GE'!$D$2+M58*'PAG100 FE GE'!$D$3+N58*'PAG100 FE GE'!$D$4</f>
        <v>0</v>
      </c>
      <c r="R58" s="86">
        <f>L58*'PAG20 FE GE'!$D$2+M58*'PAG20 FE GE'!$D$3+N58*'PAG20 FE GE'!$D$4</f>
        <v>0</v>
      </c>
      <c r="S58" s="86">
        <f>L58*'PAG100 FE GE'!$C$2+M58*'PAG100 FE GE'!$C$3+N58*'PAG100 FE GE'!$C$4</f>
        <v>0</v>
      </c>
      <c r="T58" s="86">
        <f>L58*'PAG20 FE GE'!$C$2+M58*'PAG20 FE GE'!$C$3+N58*'PAG20 FE GE'!$C$4</f>
        <v>0</v>
      </c>
      <c r="U58" s="20">
        <f t="shared" si="2"/>
        <v>181.7</v>
      </c>
    </row>
    <row r="59" spans="1:21" x14ac:dyDescent="0.25">
      <c r="A59" s="8" t="s">
        <v>233</v>
      </c>
      <c r="B59" s="8" t="s">
        <v>454</v>
      </c>
      <c r="C59" s="8" t="s">
        <v>428</v>
      </c>
      <c r="D59" s="8" t="s">
        <v>429</v>
      </c>
      <c r="E59" s="8">
        <v>2022</v>
      </c>
      <c r="F59" s="154" t="str">
        <f t="shared" si="3"/>
        <v>DEFRA: Propano: WTT: 2022:: kWh (Net CV)</v>
      </c>
      <c r="G59" s="94">
        <f>J59/'FE DEFRA A1. Fuel Eq'!E35/1000</f>
        <v>0.11780409041980623</v>
      </c>
      <c r="H59" s="206" t="s">
        <v>678</v>
      </c>
      <c r="I59" s="8" t="s">
        <v>133</v>
      </c>
      <c r="J59" s="91">
        <v>27.36</v>
      </c>
      <c r="K59" s="87" t="s">
        <v>20</v>
      </c>
      <c r="L59" s="224"/>
      <c r="M59" s="224"/>
      <c r="N59" s="224"/>
      <c r="O59" s="86">
        <f>L59*'PAG100 FE GE'!$E$2+M59*'PAG100 FE GE'!$E$3+N59*'PAG100 FE GE'!$E$4</f>
        <v>0</v>
      </c>
      <c r="P59" s="86">
        <f>L59*'PAG20 FE GE'!$E$2+M59*'PAG20 FE GE'!$E$3+N59*'PAG20 FE GE'!$E$4</f>
        <v>0</v>
      </c>
      <c r="Q59" s="86">
        <f>L59*'PAG100 FE GE'!$D$2+M59*'PAG100 FE GE'!$D$3+N59*'PAG100 FE GE'!$D$4</f>
        <v>0</v>
      </c>
      <c r="R59" s="86">
        <f>L59*'PAG20 FE GE'!$D$2+M59*'PAG20 FE GE'!$D$3+N59*'PAG20 FE GE'!$D$4</f>
        <v>0</v>
      </c>
      <c r="S59" s="86">
        <f>L59*'PAG100 FE GE'!$C$2+M59*'PAG100 FE GE'!$C$3+N59*'PAG100 FE GE'!$C$4</f>
        <v>0</v>
      </c>
      <c r="T59" s="86">
        <f>L59*'PAG20 FE GE'!$C$2+M59*'PAG20 FE GE'!$C$3+N59*'PAG20 FE GE'!$C$4</f>
        <v>0</v>
      </c>
      <c r="U59" s="20">
        <f t="shared" si="2"/>
        <v>27.36</v>
      </c>
    </row>
    <row r="60" spans="1:21" x14ac:dyDescent="0.25">
      <c r="A60" s="8" t="s">
        <v>233</v>
      </c>
      <c r="B60" s="8" t="s">
        <v>454</v>
      </c>
      <c r="C60" s="8" t="s">
        <v>428</v>
      </c>
      <c r="D60" s="8" t="s">
        <v>429</v>
      </c>
      <c r="E60" s="8">
        <v>2022</v>
      </c>
      <c r="F60" s="154" t="str">
        <f t="shared" si="3"/>
        <v>DEFRA: Propano: WTT: 2022:: kWh (Gross CV)</v>
      </c>
      <c r="G60" s="94">
        <f>J60/'FE DEFRA A1. Fuel Eq'!E36/1000</f>
        <v>0.11781488237219961</v>
      </c>
      <c r="H60" s="206" t="s">
        <v>678</v>
      </c>
      <c r="I60" s="8" t="s">
        <v>134</v>
      </c>
      <c r="J60" s="91">
        <v>25.19</v>
      </c>
      <c r="K60" s="87" t="s">
        <v>20</v>
      </c>
      <c r="L60" s="224"/>
      <c r="M60" s="224"/>
      <c r="N60" s="224"/>
      <c r="O60" s="86">
        <f>L60*'PAG100 FE GE'!$E$2+M60*'PAG100 FE GE'!$E$3+N60*'PAG100 FE GE'!$E$4</f>
        <v>0</v>
      </c>
      <c r="P60" s="86">
        <f>L60*'PAG20 FE GE'!$E$2+M60*'PAG20 FE GE'!$E$3+N60*'PAG20 FE GE'!$E$4</f>
        <v>0</v>
      </c>
      <c r="Q60" s="86">
        <f>L60*'PAG100 FE GE'!$D$2+M60*'PAG100 FE GE'!$D$3+N60*'PAG100 FE GE'!$D$4</f>
        <v>0</v>
      </c>
      <c r="R60" s="86">
        <f>L60*'PAG20 FE GE'!$D$2+M60*'PAG20 FE GE'!$D$3+N60*'PAG20 FE GE'!$D$4</f>
        <v>0</v>
      </c>
      <c r="S60" s="86">
        <f>L60*'PAG100 FE GE'!$C$2+M60*'PAG100 FE GE'!$C$3+N60*'PAG100 FE GE'!$C$4</f>
        <v>0</v>
      </c>
      <c r="T60" s="86">
        <f>L60*'PAG20 FE GE'!$C$2+M60*'PAG20 FE GE'!$C$3+N60*'PAG20 FE GE'!$C$4</f>
        <v>0</v>
      </c>
      <c r="U60" s="20">
        <f t="shared" si="2"/>
        <v>25.19</v>
      </c>
    </row>
    <row r="61" spans="1:21" x14ac:dyDescent="0.25">
      <c r="A61" s="8" t="s">
        <v>3</v>
      </c>
      <c r="B61" s="8" t="s">
        <v>454</v>
      </c>
      <c r="C61" s="8" t="s">
        <v>428</v>
      </c>
      <c r="D61" s="8" t="s">
        <v>429</v>
      </c>
      <c r="E61" s="8">
        <v>2022</v>
      </c>
      <c r="F61" s="154" t="str">
        <f t="shared" si="3"/>
        <v>DEFRA: Gasóleo: WTT: 2022:: tonnes</v>
      </c>
      <c r="G61" s="94">
        <f>J61/'FE DEFRA A1. Fuel Eq'!E37/1000</f>
        <v>0.24648549599854858</v>
      </c>
      <c r="H61" s="206" t="s">
        <v>678</v>
      </c>
      <c r="I61" s="8" t="s">
        <v>131</v>
      </c>
      <c r="J61" s="91">
        <v>733644.36</v>
      </c>
      <c r="K61" s="87" t="s">
        <v>20</v>
      </c>
      <c r="L61" s="224"/>
      <c r="M61" s="224"/>
      <c r="N61" s="224"/>
      <c r="O61" s="86">
        <f>L61*'PAG100 FE GE'!$E$2+M61*'PAG100 FE GE'!$E$3+N61*'PAG100 FE GE'!$E$4</f>
        <v>0</v>
      </c>
      <c r="P61" s="86">
        <f>L61*'PAG20 FE GE'!$E$2+M61*'PAG20 FE GE'!$E$3+N61*'PAG20 FE GE'!$E$4</f>
        <v>0</v>
      </c>
      <c r="Q61" s="86">
        <f>L61*'PAG100 FE GE'!$D$2+M61*'PAG100 FE GE'!$D$3+N61*'PAG100 FE GE'!$D$4</f>
        <v>0</v>
      </c>
      <c r="R61" s="86">
        <f>L61*'PAG20 FE GE'!$D$2+M61*'PAG20 FE GE'!$D$3+N61*'PAG20 FE GE'!$D$4</f>
        <v>0</v>
      </c>
      <c r="S61" s="86">
        <f>L61*'PAG100 FE GE'!$C$2+M61*'PAG100 FE GE'!$C$3+N61*'PAG100 FE GE'!$C$4</f>
        <v>0</v>
      </c>
      <c r="T61" s="86">
        <f>L61*'PAG20 FE GE'!$C$2+M61*'PAG20 FE GE'!$C$3+N61*'PAG20 FE GE'!$C$4</f>
        <v>0</v>
      </c>
      <c r="U61" s="20">
        <f t="shared" si="2"/>
        <v>733644.36</v>
      </c>
    </row>
    <row r="62" spans="1:21" x14ac:dyDescent="0.25">
      <c r="A62" s="8" t="s">
        <v>3</v>
      </c>
      <c r="B62" s="8" t="s">
        <v>454</v>
      </c>
      <c r="C62" s="8" t="s">
        <v>428</v>
      </c>
      <c r="D62" s="8" t="s">
        <v>429</v>
      </c>
      <c r="E62" s="8">
        <v>2022</v>
      </c>
      <c r="F62" s="154" t="str">
        <f t="shared" si="3"/>
        <v>DEFRA: Gasóleo: WTT: 2022:: kg</v>
      </c>
      <c r="G62" s="94">
        <f>J62/'FE DEFRA A1. Fuel Eq'!E38/1000</f>
        <v>0.2464854959985486</v>
      </c>
      <c r="H62" s="206" t="s">
        <v>678</v>
      </c>
      <c r="I62" s="8" t="s">
        <v>57</v>
      </c>
      <c r="J62" s="91">
        <f>J61/1000</f>
        <v>733.64436000000001</v>
      </c>
      <c r="K62" s="87" t="s">
        <v>20</v>
      </c>
      <c r="L62" s="224"/>
      <c r="M62" s="224"/>
      <c r="N62" s="224"/>
      <c r="O62" s="86">
        <f>L62*'PAG100 FE GE'!$E$2+M62*'PAG100 FE GE'!$E$3+N62*'PAG100 FE GE'!$E$4</f>
        <v>0</v>
      </c>
      <c r="P62" s="86">
        <f>L62*'PAG20 FE GE'!$E$2+M62*'PAG20 FE GE'!$E$3+N62*'PAG20 FE GE'!$E$4</f>
        <v>0</v>
      </c>
      <c r="Q62" s="86">
        <f>L62*'PAG100 FE GE'!$D$2+M62*'PAG100 FE GE'!$D$3+N62*'PAG100 FE GE'!$D$4</f>
        <v>0</v>
      </c>
      <c r="R62" s="86">
        <f>L62*'PAG20 FE GE'!$D$2+M62*'PAG20 FE GE'!$D$3+N62*'PAG20 FE GE'!$D$4</f>
        <v>0</v>
      </c>
      <c r="S62" s="86">
        <f>L62*'PAG100 FE GE'!$C$2+M62*'PAG100 FE GE'!$C$3+N62*'PAG100 FE GE'!$C$4</f>
        <v>0</v>
      </c>
      <c r="T62" s="86">
        <f>L62*'PAG20 FE GE'!$C$2+M62*'PAG20 FE GE'!$C$3+N62*'PAG20 FE GE'!$C$4</f>
        <v>0</v>
      </c>
      <c r="U62" s="20">
        <f t="shared" si="2"/>
        <v>733.64436000000001</v>
      </c>
    </row>
    <row r="63" spans="1:21" x14ac:dyDescent="0.25">
      <c r="A63" s="8" t="s">
        <v>3</v>
      </c>
      <c r="B63" s="8" t="s">
        <v>454</v>
      </c>
      <c r="C63" s="8" t="s">
        <v>428</v>
      </c>
      <c r="D63" s="8" t="s">
        <v>429</v>
      </c>
      <c r="E63" s="8">
        <v>2022</v>
      </c>
      <c r="F63" s="154" t="str">
        <f t="shared" si="3"/>
        <v>DEFRA: Gasóleo: WTT: 2022:: l</v>
      </c>
      <c r="G63" s="94">
        <f>J63/'FE DEFRA A1. Fuel Eq'!E39/1000</f>
        <v>0.24648731075046293</v>
      </c>
      <c r="H63" s="206" t="s">
        <v>678</v>
      </c>
      <c r="I63" s="8" t="s">
        <v>55</v>
      </c>
      <c r="J63" s="20">
        <v>611.0100000000001</v>
      </c>
      <c r="K63" s="87" t="s">
        <v>20</v>
      </c>
      <c r="L63" s="224"/>
      <c r="M63" s="224"/>
      <c r="N63" s="224"/>
      <c r="O63" s="86">
        <f>L63*'PAG100 FE GE'!$E$2+M63*'PAG100 FE GE'!$E$3+N63*'PAG100 FE GE'!$E$4</f>
        <v>0</v>
      </c>
      <c r="P63" s="86">
        <f>L63*'PAG20 FE GE'!$E$2+M63*'PAG20 FE GE'!$E$3+N63*'PAG20 FE GE'!$E$4</f>
        <v>0</v>
      </c>
      <c r="Q63" s="86">
        <f>L63*'PAG100 FE GE'!$D$2+M63*'PAG100 FE GE'!$D$3+N63*'PAG100 FE GE'!$D$4</f>
        <v>0</v>
      </c>
      <c r="R63" s="86">
        <f>L63*'PAG20 FE GE'!$D$2+M63*'PAG20 FE GE'!$D$3+N63*'PAG20 FE GE'!$D$4</f>
        <v>0</v>
      </c>
      <c r="S63" s="86">
        <f>L63*'PAG100 FE GE'!$C$2+M63*'PAG100 FE GE'!$C$3+N63*'PAG100 FE GE'!$C$4</f>
        <v>0</v>
      </c>
      <c r="T63" s="86">
        <f>L63*'PAG20 FE GE'!$C$2+M63*'PAG20 FE GE'!$C$3+N63*'PAG20 FE GE'!$C$4</f>
        <v>0</v>
      </c>
      <c r="U63" s="20">
        <f t="shared" si="2"/>
        <v>611.0100000000001</v>
      </c>
    </row>
    <row r="64" spans="1:21" x14ac:dyDescent="0.25">
      <c r="A64" s="8" t="s">
        <v>3</v>
      </c>
      <c r="B64" s="8" t="s">
        <v>454</v>
      </c>
      <c r="C64" s="8" t="s">
        <v>428</v>
      </c>
      <c r="D64" s="8" t="s">
        <v>429</v>
      </c>
      <c r="E64" s="8">
        <v>2022</v>
      </c>
      <c r="F64" s="154" t="str">
        <f t="shared" si="3"/>
        <v>DEFRA: Gasóleo: WTT: 2022:: kWh (Net CV)</v>
      </c>
      <c r="G64" s="94">
        <f>J64/'FE DEFRA A1. Fuel Eq'!E40/1000</f>
        <v>0.24649066836816078</v>
      </c>
      <c r="H64" s="206" t="s">
        <v>678</v>
      </c>
      <c r="I64" s="8" t="s">
        <v>133</v>
      </c>
      <c r="J64" s="91">
        <v>61.809999999999995</v>
      </c>
      <c r="K64" s="87" t="s">
        <v>20</v>
      </c>
      <c r="L64" s="224"/>
      <c r="M64" s="224"/>
      <c r="N64" s="224"/>
      <c r="O64" s="86">
        <f>L64*'PAG100 FE GE'!$E$2+M64*'PAG100 FE GE'!$E$3+N64*'PAG100 FE GE'!$E$4</f>
        <v>0</v>
      </c>
      <c r="P64" s="86">
        <f>L64*'PAG20 FE GE'!$E$2+M64*'PAG20 FE GE'!$E$3+N64*'PAG20 FE GE'!$E$4</f>
        <v>0</v>
      </c>
      <c r="Q64" s="86">
        <f>L64*'PAG100 FE GE'!$D$2+M64*'PAG100 FE GE'!$D$3+N64*'PAG100 FE GE'!$D$4</f>
        <v>0</v>
      </c>
      <c r="R64" s="86">
        <f>L64*'PAG20 FE GE'!$D$2+M64*'PAG20 FE GE'!$D$3+N64*'PAG20 FE GE'!$D$4</f>
        <v>0</v>
      </c>
      <c r="S64" s="86">
        <f>L64*'PAG100 FE GE'!$C$2+M64*'PAG100 FE GE'!$C$3+N64*'PAG100 FE GE'!$C$4</f>
        <v>0</v>
      </c>
      <c r="T64" s="86">
        <f>L64*'PAG20 FE GE'!$C$2+M64*'PAG20 FE GE'!$C$3+N64*'PAG20 FE GE'!$C$4</f>
        <v>0</v>
      </c>
      <c r="U64" s="20">
        <f t="shared" si="2"/>
        <v>61.809999999999995</v>
      </c>
    </row>
    <row r="65" spans="1:21" x14ac:dyDescent="0.25">
      <c r="A65" s="8" t="s">
        <v>3</v>
      </c>
      <c r="B65" s="8" t="s">
        <v>454</v>
      </c>
      <c r="C65" s="8" t="s">
        <v>428</v>
      </c>
      <c r="D65" s="8" t="s">
        <v>429</v>
      </c>
      <c r="E65" s="8">
        <v>2022</v>
      </c>
      <c r="F65" s="154" t="str">
        <f t="shared" si="3"/>
        <v>DEFRA: Gasóleo: WTT: 2022:: kWh (Gross CV)</v>
      </c>
      <c r="G65" s="94">
        <f>J65/'FE DEFRA A1. Fuel Eq'!E41/1000</f>
        <v>0.24649290103835561</v>
      </c>
      <c r="H65" s="206" t="s">
        <v>678</v>
      </c>
      <c r="I65" s="8" t="s">
        <v>134</v>
      </c>
      <c r="J65" s="91">
        <v>58.160000000000004</v>
      </c>
      <c r="K65" s="87" t="s">
        <v>20</v>
      </c>
      <c r="L65" s="224"/>
      <c r="M65" s="224"/>
      <c r="N65" s="224"/>
      <c r="O65" s="86">
        <f>L65*'PAG100 FE GE'!$E$2+M65*'PAG100 FE GE'!$E$3+N65*'PAG100 FE GE'!$E$4</f>
        <v>0</v>
      </c>
      <c r="P65" s="86">
        <f>L65*'PAG20 FE GE'!$E$2+M65*'PAG20 FE GE'!$E$3+N65*'PAG20 FE GE'!$E$4</f>
        <v>0</v>
      </c>
      <c r="Q65" s="86">
        <f>L65*'PAG100 FE GE'!$D$2+M65*'PAG100 FE GE'!$D$3+N65*'PAG100 FE GE'!$D$4</f>
        <v>0</v>
      </c>
      <c r="R65" s="86">
        <f>L65*'PAG20 FE GE'!$D$2+M65*'PAG20 FE GE'!$D$3+N65*'PAG20 FE GE'!$D$4</f>
        <v>0</v>
      </c>
      <c r="S65" s="86">
        <f>L65*'PAG100 FE GE'!$C$2+M65*'PAG100 FE GE'!$C$3+N65*'PAG100 FE GE'!$C$4</f>
        <v>0</v>
      </c>
      <c r="T65" s="86">
        <f>L65*'PAG20 FE GE'!$C$2+M65*'PAG20 FE GE'!$C$3+N65*'PAG20 FE GE'!$C$4</f>
        <v>0</v>
      </c>
      <c r="U65" s="20">
        <f t="shared" si="2"/>
        <v>58.160000000000004</v>
      </c>
    </row>
    <row r="66" spans="1:21" x14ac:dyDescent="0.25">
      <c r="A66" s="8" t="s">
        <v>149</v>
      </c>
      <c r="B66" s="8" t="s">
        <v>454</v>
      </c>
      <c r="C66" s="8" t="s">
        <v>428</v>
      </c>
      <c r="D66" s="8" t="s">
        <v>429</v>
      </c>
      <c r="E66" s="8">
        <v>2022</v>
      </c>
      <c r="F66" s="154" t="str">
        <f t="shared" ref="F66:F80" si="4">IF(A66="Eléctrica",C66&amp;": "&amp;A66&amp;": "&amp;B66&amp;": "&amp;D66&amp;": "&amp;E66&amp;":: "&amp;I66,
C66&amp;": "&amp;A66&amp;": "&amp;B66&amp;": "&amp;E66&amp;":: "&amp;I66)</f>
        <v>DEFRA: Fuel oil: WTT: 2022:: tonnes</v>
      </c>
      <c r="G66" s="94">
        <f>J66/'FE DEFRA A1. Fuel Eq'!E42/1000</f>
        <v>0.22225777115888046</v>
      </c>
      <c r="H66" s="206" t="s">
        <v>678</v>
      </c>
      <c r="I66" s="8" t="s">
        <v>131</v>
      </c>
      <c r="J66" s="91">
        <v>714865.45</v>
      </c>
      <c r="K66" s="87" t="s">
        <v>20</v>
      </c>
      <c r="L66" s="224"/>
      <c r="M66" s="224"/>
      <c r="N66" s="224"/>
      <c r="O66" s="86">
        <f>L66*'PAG100 FE GE'!$E$2+M66*'PAG100 FE GE'!$E$3+N66*'PAG100 FE GE'!$E$4</f>
        <v>0</v>
      </c>
      <c r="P66" s="86">
        <f>L66*'PAG20 FE GE'!$E$2+M66*'PAG20 FE GE'!$E$3+N66*'PAG20 FE GE'!$E$4</f>
        <v>0</v>
      </c>
      <c r="Q66" s="86">
        <f>L66*'PAG100 FE GE'!$D$2+M66*'PAG100 FE GE'!$D$3+N66*'PAG100 FE GE'!$D$4</f>
        <v>0</v>
      </c>
      <c r="R66" s="86">
        <f>L66*'PAG20 FE GE'!$D$2+M66*'PAG20 FE GE'!$D$3+N66*'PAG20 FE GE'!$D$4</f>
        <v>0</v>
      </c>
      <c r="S66" s="86">
        <f>L66*'PAG100 FE GE'!$C$2+M66*'PAG100 FE GE'!$C$3+N66*'PAG100 FE GE'!$C$4</f>
        <v>0</v>
      </c>
      <c r="T66" s="86">
        <f>L66*'PAG20 FE GE'!$C$2+M66*'PAG20 FE GE'!$C$3+N66*'PAG20 FE GE'!$C$4</f>
        <v>0</v>
      </c>
      <c r="U66" s="20">
        <f t="shared" si="2"/>
        <v>714865.45</v>
      </c>
    </row>
    <row r="67" spans="1:21" x14ac:dyDescent="0.25">
      <c r="A67" s="8" t="s">
        <v>149</v>
      </c>
      <c r="B67" s="8" t="s">
        <v>454</v>
      </c>
      <c r="C67" s="8" t="s">
        <v>428</v>
      </c>
      <c r="D67" s="8" t="s">
        <v>429</v>
      </c>
      <c r="E67" s="8">
        <v>2022</v>
      </c>
      <c r="F67" s="154" t="str">
        <f t="shared" si="4"/>
        <v>DEFRA: Fuel oil: WTT: 2022:: kg</v>
      </c>
      <c r="G67" s="94">
        <f>J67/'FE DEFRA A1. Fuel Eq'!E43/1000</f>
        <v>0.22225777115888048</v>
      </c>
      <c r="H67" s="206" t="s">
        <v>678</v>
      </c>
      <c r="I67" s="8" t="s">
        <v>57</v>
      </c>
      <c r="J67" s="20">
        <f>J66/1000</f>
        <v>714.86545000000001</v>
      </c>
      <c r="K67" s="87" t="s">
        <v>20</v>
      </c>
      <c r="L67" s="224"/>
      <c r="M67" s="224"/>
      <c r="N67" s="224"/>
      <c r="O67" s="86">
        <f>L67*'PAG100 FE GE'!$E$2+M67*'PAG100 FE GE'!$E$3+N67*'PAG100 FE GE'!$E$4</f>
        <v>0</v>
      </c>
      <c r="P67" s="86">
        <f>L67*'PAG20 FE GE'!$E$2+M67*'PAG20 FE GE'!$E$3+N67*'PAG20 FE GE'!$E$4</f>
        <v>0</v>
      </c>
      <c r="Q67" s="86">
        <f>L67*'PAG100 FE GE'!$D$2+M67*'PAG100 FE GE'!$D$3+N67*'PAG100 FE GE'!$D$4</f>
        <v>0</v>
      </c>
      <c r="R67" s="86">
        <f>L67*'PAG20 FE GE'!$D$2+M67*'PAG20 FE GE'!$D$3+N67*'PAG20 FE GE'!$D$4</f>
        <v>0</v>
      </c>
      <c r="S67" s="86">
        <f>L67*'PAG100 FE GE'!$C$2+M67*'PAG100 FE GE'!$C$3+N67*'PAG100 FE GE'!$C$4</f>
        <v>0</v>
      </c>
      <c r="T67" s="86">
        <f>L67*'PAG20 FE GE'!$C$2+M67*'PAG20 FE GE'!$C$3+N67*'PAG20 FE GE'!$C$4</f>
        <v>0</v>
      </c>
      <c r="U67" s="20">
        <f t="shared" si="2"/>
        <v>714.86545000000001</v>
      </c>
    </row>
    <row r="68" spans="1:21" x14ac:dyDescent="0.25">
      <c r="A68" s="8" t="s">
        <v>149</v>
      </c>
      <c r="B68" s="8" t="s">
        <v>454</v>
      </c>
      <c r="C68" s="8" t="s">
        <v>428</v>
      </c>
      <c r="D68" s="8" t="s">
        <v>429</v>
      </c>
      <c r="E68" s="8">
        <v>2022</v>
      </c>
      <c r="F68" s="154" t="str">
        <f t="shared" si="4"/>
        <v>DEFRA: Fuel oil: WTT: 2022:: l</v>
      </c>
      <c r="G68" s="94">
        <f>J68/'FE DEFRA A1. Fuel Eq'!E44/1000</f>
        <v>0.21987782281779031</v>
      </c>
      <c r="H68" s="206" t="s">
        <v>678</v>
      </c>
      <c r="I68" s="8" t="s">
        <v>55</v>
      </c>
      <c r="J68" s="91">
        <v>695.39</v>
      </c>
      <c r="K68" s="87" t="s">
        <v>20</v>
      </c>
      <c r="L68" s="224"/>
      <c r="M68" s="224"/>
      <c r="N68" s="224"/>
      <c r="O68" s="86">
        <f>L68*'PAG100 FE GE'!$E$2+M68*'PAG100 FE GE'!$E$3+N68*'PAG100 FE GE'!$E$4</f>
        <v>0</v>
      </c>
      <c r="P68" s="86">
        <f>L68*'PAG20 FE GE'!$E$2+M68*'PAG20 FE GE'!$E$3+N68*'PAG20 FE GE'!$E$4</f>
        <v>0</v>
      </c>
      <c r="Q68" s="86">
        <f>L68*'PAG100 FE GE'!$D$2+M68*'PAG100 FE GE'!$D$3+N68*'PAG100 FE GE'!$D$4</f>
        <v>0</v>
      </c>
      <c r="R68" s="86">
        <f>L68*'PAG20 FE GE'!$D$2+M68*'PAG20 FE GE'!$D$3+N68*'PAG20 FE GE'!$D$4</f>
        <v>0</v>
      </c>
      <c r="S68" s="86">
        <f>L68*'PAG100 FE GE'!$C$2+M68*'PAG100 FE GE'!$C$3+N68*'PAG100 FE GE'!$C$4</f>
        <v>0</v>
      </c>
      <c r="T68" s="86">
        <f>L68*'PAG20 FE GE'!$C$2+M68*'PAG20 FE GE'!$C$3+N68*'PAG20 FE GE'!$C$4</f>
        <v>0</v>
      </c>
      <c r="U68" s="20">
        <f t="shared" si="2"/>
        <v>695.39</v>
      </c>
    </row>
    <row r="69" spans="1:21" x14ac:dyDescent="0.25">
      <c r="A69" s="8" t="s">
        <v>149</v>
      </c>
      <c r="B69" s="8" t="s">
        <v>454</v>
      </c>
      <c r="C69" s="8" t="s">
        <v>428</v>
      </c>
      <c r="D69" s="8" t="s">
        <v>429</v>
      </c>
      <c r="E69" s="8">
        <v>2022</v>
      </c>
      <c r="F69" s="154" t="str">
        <f t="shared" si="4"/>
        <v>DEFRA: Fuel oil: WTT: 2022:: kWh (Net CV)</v>
      </c>
      <c r="G69" s="94">
        <f>J69/'FE DEFRA A1. Fuel Eq'!E45/1000</f>
        <v>0.22141273360785554</v>
      </c>
      <c r="H69" s="206" t="s">
        <v>678</v>
      </c>
      <c r="I69" s="8" t="s">
        <v>133</v>
      </c>
      <c r="J69" s="91">
        <v>62.91</v>
      </c>
      <c r="K69" s="87" t="s">
        <v>20</v>
      </c>
      <c r="L69" s="224"/>
      <c r="M69" s="224"/>
      <c r="N69" s="224"/>
      <c r="O69" s="86">
        <f>L69*'PAG100 FE GE'!$E$2+M69*'PAG100 FE GE'!$E$3+N69*'PAG100 FE GE'!$E$4</f>
        <v>0</v>
      </c>
      <c r="P69" s="86">
        <f>L69*'PAG20 FE GE'!$E$2+M69*'PAG20 FE GE'!$E$3+N69*'PAG20 FE GE'!$E$4</f>
        <v>0</v>
      </c>
      <c r="Q69" s="86">
        <f>L69*'PAG100 FE GE'!$D$2+M69*'PAG100 FE GE'!$D$3+N69*'PAG100 FE GE'!$D$4</f>
        <v>0</v>
      </c>
      <c r="R69" s="86">
        <f>L69*'PAG20 FE GE'!$D$2+M69*'PAG20 FE GE'!$D$3+N69*'PAG20 FE GE'!$D$4</f>
        <v>0</v>
      </c>
      <c r="S69" s="86">
        <f>L69*'PAG100 FE GE'!$C$2+M69*'PAG100 FE GE'!$C$3+N69*'PAG100 FE GE'!$C$4</f>
        <v>0</v>
      </c>
      <c r="T69" s="86">
        <f>L69*'PAG20 FE GE'!$C$2+M69*'PAG20 FE GE'!$C$3+N69*'PAG20 FE GE'!$C$4</f>
        <v>0</v>
      </c>
      <c r="U69" s="20">
        <f t="shared" si="2"/>
        <v>62.91</v>
      </c>
    </row>
    <row r="70" spans="1:21" x14ac:dyDescent="0.25">
      <c r="A70" s="8" t="s">
        <v>149</v>
      </c>
      <c r="B70" s="8" t="s">
        <v>454</v>
      </c>
      <c r="C70" s="8" t="s">
        <v>428</v>
      </c>
      <c r="D70" s="8" t="s">
        <v>429</v>
      </c>
      <c r="E70" s="8">
        <v>2022</v>
      </c>
      <c r="F70" s="154" t="str">
        <f t="shared" si="4"/>
        <v>DEFRA: Fuel oil: WTT: 2022:: kWh (Gross CV)</v>
      </c>
      <c r="G70" s="94">
        <f>J70/'FE DEFRA A1. Fuel Eq'!E46/1000</f>
        <v>0.22138604964618672</v>
      </c>
      <c r="H70" s="206" t="s">
        <v>678</v>
      </c>
      <c r="I70" s="8" t="s">
        <v>134</v>
      </c>
      <c r="J70" s="91">
        <v>59.13</v>
      </c>
      <c r="K70" s="87" t="s">
        <v>20</v>
      </c>
      <c r="L70" s="224"/>
      <c r="M70" s="224"/>
      <c r="N70" s="224"/>
      <c r="O70" s="86">
        <f>L70*'PAG100 FE GE'!$E$2+M70*'PAG100 FE GE'!$E$3+N70*'PAG100 FE GE'!$E$4</f>
        <v>0</v>
      </c>
      <c r="P70" s="86">
        <f>L70*'PAG20 FE GE'!$E$2+M70*'PAG20 FE GE'!$E$3+N70*'PAG20 FE GE'!$E$4</f>
        <v>0</v>
      </c>
      <c r="Q70" s="86">
        <f>L70*'PAG100 FE GE'!$D$2+M70*'PAG100 FE GE'!$D$3+N70*'PAG100 FE GE'!$D$4</f>
        <v>0</v>
      </c>
      <c r="R70" s="86">
        <f>L70*'PAG20 FE GE'!$D$2+M70*'PAG20 FE GE'!$D$3+N70*'PAG20 FE GE'!$D$4</f>
        <v>0</v>
      </c>
      <c r="S70" s="86">
        <f>L70*'PAG100 FE GE'!$C$2+M70*'PAG100 FE GE'!$C$3+N70*'PAG100 FE GE'!$C$4</f>
        <v>0</v>
      </c>
      <c r="T70" s="86">
        <f>L70*'PAG20 FE GE'!$C$2+M70*'PAG20 FE GE'!$C$3+N70*'PAG20 FE GE'!$C$4</f>
        <v>0</v>
      </c>
      <c r="U70" s="20">
        <f t="shared" si="2"/>
        <v>59.13</v>
      </c>
    </row>
    <row r="71" spans="1:21" x14ac:dyDescent="0.25">
      <c r="A71" s="8" t="s">
        <v>150</v>
      </c>
      <c r="B71" s="8" t="s">
        <v>454</v>
      </c>
      <c r="C71" s="8" t="s">
        <v>428</v>
      </c>
      <c r="D71" s="8" t="s">
        <v>429</v>
      </c>
      <c r="E71" s="8">
        <v>2022</v>
      </c>
      <c r="F71" s="154" t="str">
        <f t="shared" si="4"/>
        <v>DEFRA: Gas oil: WTT: 2022:: tonnes</v>
      </c>
      <c r="G71" s="94">
        <f>J71/'FE DEFRA A1. Fuel Eq'!E47/1000</f>
        <v>0.23317719122257055</v>
      </c>
      <c r="H71" s="206" t="s">
        <v>678</v>
      </c>
      <c r="I71" s="8" t="s">
        <v>131</v>
      </c>
      <c r="J71" s="91">
        <v>743835.24</v>
      </c>
      <c r="K71" s="87" t="s">
        <v>20</v>
      </c>
      <c r="L71" s="224"/>
      <c r="M71" s="224"/>
      <c r="N71" s="224"/>
      <c r="O71" s="86">
        <f>L71*'PAG100 FE GE'!$E$2+M71*'PAG100 FE GE'!$E$3+N71*'PAG100 FE GE'!$E$4</f>
        <v>0</v>
      </c>
      <c r="P71" s="86">
        <f>L71*'PAG20 FE GE'!$E$2+M71*'PAG20 FE GE'!$E$3+N71*'PAG20 FE GE'!$E$4</f>
        <v>0</v>
      </c>
      <c r="Q71" s="86">
        <f>L71*'PAG100 FE GE'!$D$2+M71*'PAG100 FE GE'!$D$3+N71*'PAG100 FE GE'!$D$4</f>
        <v>0</v>
      </c>
      <c r="R71" s="86">
        <f>L71*'PAG20 FE GE'!$D$2+M71*'PAG20 FE GE'!$D$3+N71*'PAG20 FE GE'!$D$4</f>
        <v>0</v>
      </c>
      <c r="S71" s="86">
        <f>L71*'PAG100 FE GE'!$C$2+M71*'PAG100 FE GE'!$C$3+N71*'PAG100 FE GE'!$C$4</f>
        <v>0</v>
      </c>
      <c r="T71" s="86">
        <f>L71*'PAG20 FE GE'!$C$2+M71*'PAG20 FE GE'!$C$3+N71*'PAG20 FE GE'!$C$4</f>
        <v>0</v>
      </c>
      <c r="U71" s="20">
        <f t="shared" si="2"/>
        <v>743835.24</v>
      </c>
    </row>
    <row r="72" spans="1:21" x14ac:dyDescent="0.25">
      <c r="A72" s="8" t="s">
        <v>150</v>
      </c>
      <c r="B72" s="8" t="s">
        <v>454</v>
      </c>
      <c r="C72" s="8" t="s">
        <v>428</v>
      </c>
      <c r="D72" s="8" t="s">
        <v>429</v>
      </c>
      <c r="E72" s="8">
        <v>2022</v>
      </c>
      <c r="F72" s="154" t="str">
        <f t="shared" si="4"/>
        <v>DEFRA: Gas oil: WTT: 2022:: kg</v>
      </c>
      <c r="G72" s="94">
        <f>J72/'FE DEFRA A1. Fuel Eq'!E48/1000</f>
        <v>0.23317719122257055</v>
      </c>
      <c r="H72" s="206" t="s">
        <v>678</v>
      </c>
      <c r="I72" s="8" t="s">
        <v>57</v>
      </c>
      <c r="J72" s="20">
        <f>J71/1000</f>
        <v>743.83524</v>
      </c>
      <c r="K72" s="87" t="s">
        <v>20</v>
      </c>
      <c r="L72" s="224"/>
      <c r="M72" s="224"/>
      <c r="N72" s="224"/>
      <c r="O72" s="86">
        <f>L72*'PAG100 FE GE'!$E$2+M72*'PAG100 FE GE'!$E$3+N72*'PAG100 FE GE'!$E$4</f>
        <v>0</v>
      </c>
      <c r="P72" s="86">
        <f>L72*'PAG20 FE GE'!$E$2+M72*'PAG20 FE GE'!$E$3+N72*'PAG20 FE GE'!$E$4</f>
        <v>0</v>
      </c>
      <c r="Q72" s="86">
        <f>L72*'PAG100 FE GE'!$D$2+M72*'PAG100 FE GE'!$D$3+N72*'PAG100 FE GE'!$D$4</f>
        <v>0</v>
      </c>
      <c r="R72" s="86">
        <f>L72*'PAG20 FE GE'!$D$2+M72*'PAG20 FE GE'!$D$3+N72*'PAG20 FE GE'!$D$4</f>
        <v>0</v>
      </c>
      <c r="S72" s="86">
        <f>L72*'PAG100 FE GE'!$C$2+M72*'PAG100 FE GE'!$C$3+N72*'PAG100 FE GE'!$C$4</f>
        <v>0</v>
      </c>
      <c r="T72" s="86">
        <f>L72*'PAG20 FE GE'!$C$2+M72*'PAG20 FE GE'!$C$3+N72*'PAG20 FE GE'!$C$4</f>
        <v>0</v>
      </c>
      <c r="U72" s="20">
        <f t="shared" si="2"/>
        <v>743.83524</v>
      </c>
    </row>
    <row r="73" spans="1:21" x14ac:dyDescent="0.25">
      <c r="A73" s="8" t="s">
        <v>150</v>
      </c>
      <c r="B73" s="8" t="s">
        <v>454</v>
      </c>
      <c r="C73" s="8" t="s">
        <v>428</v>
      </c>
      <c r="D73" s="8" t="s">
        <v>429</v>
      </c>
      <c r="E73" s="8">
        <v>2022</v>
      </c>
      <c r="F73" s="154" t="str">
        <f t="shared" si="4"/>
        <v>DEFRA: Gas oil: WTT: 2022:: l</v>
      </c>
      <c r="G73" s="94">
        <f>J73/'FE DEFRA A1. Fuel Eq'!E49/1000</f>
        <v>0.23003336796161769</v>
      </c>
      <c r="H73" s="206" t="s">
        <v>678</v>
      </c>
      <c r="I73" s="8" t="s">
        <v>55</v>
      </c>
      <c r="J73" s="91">
        <v>626.65000000000009</v>
      </c>
      <c r="K73" s="87" t="s">
        <v>20</v>
      </c>
      <c r="L73" s="224"/>
      <c r="M73" s="224"/>
      <c r="N73" s="224"/>
      <c r="O73" s="86">
        <f>L73*'PAG100 FE GE'!$E$2+M73*'PAG100 FE GE'!$E$3+N73*'PAG100 FE GE'!$E$4</f>
        <v>0</v>
      </c>
      <c r="P73" s="86">
        <f>L73*'PAG20 FE GE'!$E$2+M73*'PAG20 FE GE'!$E$3+N73*'PAG20 FE GE'!$E$4</f>
        <v>0</v>
      </c>
      <c r="Q73" s="86">
        <f>L73*'PAG100 FE GE'!$D$2+M73*'PAG100 FE GE'!$D$3+N73*'PAG100 FE GE'!$D$4</f>
        <v>0</v>
      </c>
      <c r="R73" s="86">
        <f>L73*'PAG20 FE GE'!$D$2+M73*'PAG20 FE GE'!$D$3+N73*'PAG20 FE GE'!$D$4</f>
        <v>0</v>
      </c>
      <c r="S73" s="86">
        <f>L73*'PAG100 FE GE'!$C$2+M73*'PAG100 FE GE'!$C$3+N73*'PAG100 FE GE'!$C$4</f>
        <v>0</v>
      </c>
      <c r="T73" s="86">
        <f>L73*'PAG20 FE GE'!$C$2+M73*'PAG20 FE GE'!$C$3+N73*'PAG20 FE GE'!$C$4</f>
        <v>0</v>
      </c>
      <c r="U73" s="20">
        <f t="shared" si="2"/>
        <v>626.65000000000009</v>
      </c>
    </row>
    <row r="74" spans="1:21" x14ac:dyDescent="0.25">
      <c r="A74" s="8" t="s">
        <v>150</v>
      </c>
      <c r="B74" s="8" t="s">
        <v>454</v>
      </c>
      <c r="C74" s="8" t="s">
        <v>428</v>
      </c>
      <c r="D74" s="8" t="s">
        <v>429</v>
      </c>
      <c r="E74" s="8">
        <v>2022</v>
      </c>
      <c r="F74" s="154" t="str">
        <f t="shared" si="4"/>
        <v>DEFRA: Gas oil: WTT: 2022:: kWh (Net CV)</v>
      </c>
      <c r="G74" s="94">
        <f>J74/'FE DEFRA A1. Fuel Eq'!E50/1000</f>
        <v>0.23319000667210316</v>
      </c>
      <c r="H74" s="206" t="s">
        <v>678</v>
      </c>
      <c r="I74" s="8" t="s">
        <v>133</v>
      </c>
      <c r="J74" s="91">
        <v>62.91</v>
      </c>
      <c r="K74" s="87" t="s">
        <v>20</v>
      </c>
      <c r="L74" s="224"/>
      <c r="M74" s="224"/>
      <c r="N74" s="224"/>
      <c r="O74" s="86">
        <f>L74*'PAG100 FE GE'!$E$2+M74*'PAG100 FE GE'!$E$3+N74*'PAG100 FE GE'!$E$4</f>
        <v>0</v>
      </c>
      <c r="P74" s="86">
        <f>L74*'PAG20 FE GE'!$E$2+M74*'PAG20 FE GE'!$E$3+N74*'PAG20 FE GE'!$E$4</f>
        <v>0</v>
      </c>
      <c r="Q74" s="86">
        <f>L74*'PAG100 FE GE'!$D$2+M74*'PAG100 FE GE'!$D$3+N74*'PAG100 FE GE'!$D$4</f>
        <v>0</v>
      </c>
      <c r="R74" s="86">
        <f>L74*'PAG20 FE GE'!$D$2+M74*'PAG20 FE GE'!$D$3+N74*'PAG20 FE GE'!$D$4</f>
        <v>0</v>
      </c>
      <c r="S74" s="86">
        <f>L74*'PAG100 FE GE'!$C$2+M74*'PAG100 FE GE'!$C$3+N74*'PAG100 FE GE'!$C$4</f>
        <v>0</v>
      </c>
      <c r="T74" s="86">
        <f>L74*'PAG20 FE GE'!$C$2+M74*'PAG20 FE GE'!$C$3+N74*'PAG20 FE GE'!$C$4</f>
        <v>0</v>
      </c>
      <c r="U74" s="20">
        <f t="shared" si="2"/>
        <v>62.91</v>
      </c>
    </row>
    <row r="75" spans="1:21" x14ac:dyDescent="0.25">
      <c r="A75" s="8" t="s">
        <v>150</v>
      </c>
      <c r="B75" s="8" t="s">
        <v>454</v>
      </c>
      <c r="C75" s="8" t="s">
        <v>428</v>
      </c>
      <c r="D75" s="8" t="s">
        <v>429</v>
      </c>
      <c r="E75" s="8">
        <v>2022</v>
      </c>
      <c r="F75" s="154" t="str">
        <f t="shared" si="4"/>
        <v>DEFRA: Gas oil: WTT: 2022:: kWh (Gross CV)</v>
      </c>
      <c r="G75" s="94">
        <f>J75/'FE DEFRA A1. Fuel Eq'!E51/1000</f>
        <v>0.23317165503371587</v>
      </c>
      <c r="H75" s="206" t="s">
        <v>678</v>
      </c>
      <c r="I75" s="8" t="s">
        <v>134</v>
      </c>
      <c r="J75" s="91">
        <v>59.13</v>
      </c>
      <c r="K75" s="87" t="s">
        <v>20</v>
      </c>
      <c r="L75" s="224"/>
      <c r="M75" s="224"/>
      <c r="N75" s="224"/>
      <c r="O75" s="86">
        <f>L75*'PAG100 FE GE'!$E$2+M75*'PAG100 FE GE'!$E$3+N75*'PAG100 FE GE'!$E$4</f>
        <v>0</v>
      </c>
      <c r="P75" s="86">
        <f>L75*'PAG20 FE GE'!$E$2+M75*'PAG20 FE GE'!$E$3+N75*'PAG20 FE GE'!$E$4</f>
        <v>0</v>
      </c>
      <c r="Q75" s="86">
        <f>L75*'PAG100 FE GE'!$D$2+M75*'PAG100 FE GE'!$D$3+N75*'PAG100 FE GE'!$D$4</f>
        <v>0</v>
      </c>
      <c r="R75" s="86">
        <f>L75*'PAG20 FE GE'!$D$2+M75*'PAG20 FE GE'!$D$3+N75*'PAG20 FE GE'!$D$4</f>
        <v>0</v>
      </c>
      <c r="S75" s="86">
        <f>L75*'PAG100 FE GE'!$C$2+M75*'PAG100 FE GE'!$C$3+N75*'PAG100 FE GE'!$C$4</f>
        <v>0</v>
      </c>
      <c r="T75" s="86">
        <f>L75*'PAG20 FE GE'!$C$2+M75*'PAG20 FE GE'!$C$3+N75*'PAG20 FE GE'!$C$4</f>
        <v>0</v>
      </c>
      <c r="U75" s="20">
        <f t="shared" si="2"/>
        <v>59.13</v>
      </c>
    </row>
    <row r="76" spans="1:21" x14ac:dyDescent="0.25">
      <c r="A76" s="8" t="s">
        <v>42</v>
      </c>
      <c r="B76" s="8" t="s">
        <v>454</v>
      </c>
      <c r="C76" s="8" t="s">
        <v>428</v>
      </c>
      <c r="D76" s="8" t="s">
        <v>429</v>
      </c>
      <c r="E76" s="8">
        <v>2022</v>
      </c>
      <c r="F76" s="154" t="str">
        <f t="shared" si="4"/>
        <v>DEFRA: Gasolina: WTT: 2022:: tonnes</v>
      </c>
      <c r="G76" s="94">
        <f>J76/'FE DEFRA A1. Fuel Eq'!E52/1000</f>
        <v>0.27882117556753583</v>
      </c>
      <c r="H76" s="206" t="s">
        <v>678</v>
      </c>
      <c r="I76" s="8" t="s">
        <v>131</v>
      </c>
      <c r="J76" s="91">
        <v>777333.92</v>
      </c>
      <c r="K76" s="87" t="s">
        <v>20</v>
      </c>
      <c r="L76" s="224"/>
      <c r="M76" s="224"/>
      <c r="N76" s="224"/>
      <c r="O76" s="86">
        <f>L76*'PAG100 FE GE'!$E$2+M76*'PAG100 FE GE'!$E$3+N76*'PAG100 FE GE'!$E$4</f>
        <v>0</v>
      </c>
      <c r="P76" s="86">
        <f>L76*'PAG20 FE GE'!$E$2+M76*'PAG20 FE GE'!$E$3+N76*'PAG20 FE GE'!$E$4</f>
        <v>0</v>
      </c>
      <c r="Q76" s="86">
        <f>L76*'PAG100 FE GE'!$D$2+M76*'PAG100 FE GE'!$D$3+N76*'PAG100 FE GE'!$D$4</f>
        <v>0</v>
      </c>
      <c r="R76" s="86">
        <f>L76*'PAG20 FE GE'!$D$2+M76*'PAG20 FE GE'!$D$3+N76*'PAG20 FE GE'!$D$4</f>
        <v>0</v>
      </c>
      <c r="S76" s="86">
        <f>L76*'PAG100 FE GE'!$C$2+M76*'PAG100 FE GE'!$C$3+N76*'PAG100 FE GE'!$C$4</f>
        <v>0</v>
      </c>
      <c r="T76" s="86">
        <f>L76*'PAG20 FE GE'!$C$2+M76*'PAG20 FE GE'!$C$3+N76*'PAG20 FE GE'!$C$4</f>
        <v>0</v>
      </c>
      <c r="U76" s="20">
        <f t="shared" si="2"/>
        <v>777333.92</v>
      </c>
    </row>
    <row r="77" spans="1:21" x14ac:dyDescent="0.25">
      <c r="A77" s="8" t="s">
        <v>42</v>
      </c>
      <c r="B77" s="8" t="s">
        <v>454</v>
      </c>
      <c r="C77" s="8" t="s">
        <v>428</v>
      </c>
      <c r="D77" s="8" t="s">
        <v>429</v>
      </c>
      <c r="E77" s="8">
        <v>2022</v>
      </c>
      <c r="F77" s="154" t="str">
        <f t="shared" si="4"/>
        <v>DEFRA: Gasolina: WTT: 2022:: kg</v>
      </c>
      <c r="G77" s="94">
        <f>J77/'FE DEFRA A1. Fuel Eq'!E53/1000</f>
        <v>0.27882117556753583</v>
      </c>
      <c r="H77" s="206" t="s">
        <v>678</v>
      </c>
      <c r="I77" s="8" t="s">
        <v>57</v>
      </c>
      <c r="J77" s="20">
        <f>J76/1000</f>
        <v>777.33392000000003</v>
      </c>
      <c r="K77" s="87" t="s">
        <v>20</v>
      </c>
      <c r="L77" s="224"/>
      <c r="M77" s="224"/>
      <c r="N77" s="224"/>
      <c r="O77" s="86">
        <f>L77*'PAG100 FE GE'!$E$2+M77*'PAG100 FE GE'!$E$3+N77*'PAG100 FE GE'!$E$4</f>
        <v>0</v>
      </c>
      <c r="P77" s="86">
        <f>L77*'PAG20 FE GE'!$E$2+M77*'PAG20 FE GE'!$E$3+N77*'PAG20 FE GE'!$E$4</f>
        <v>0</v>
      </c>
      <c r="Q77" s="86">
        <f>L77*'PAG100 FE GE'!$D$2+M77*'PAG100 FE GE'!$D$3+N77*'PAG100 FE GE'!$D$4</f>
        <v>0</v>
      </c>
      <c r="R77" s="86">
        <f>L77*'PAG20 FE GE'!$D$2+M77*'PAG20 FE GE'!$D$3+N77*'PAG20 FE GE'!$D$4</f>
        <v>0</v>
      </c>
      <c r="S77" s="86">
        <f>L77*'PAG100 FE GE'!$C$2+M77*'PAG100 FE GE'!$C$3+N77*'PAG100 FE GE'!$C$4</f>
        <v>0</v>
      </c>
      <c r="T77" s="86">
        <f>L77*'PAG20 FE GE'!$C$2+M77*'PAG20 FE GE'!$C$3+N77*'PAG20 FE GE'!$C$4</f>
        <v>0</v>
      </c>
      <c r="U77" s="20">
        <f t="shared" si="2"/>
        <v>777.33392000000003</v>
      </c>
    </row>
    <row r="78" spans="1:21" x14ac:dyDescent="0.25">
      <c r="A78" s="8" t="s">
        <v>42</v>
      </c>
      <c r="B78" s="8" t="s">
        <v>454</v>
      </c>
      <c r="C78" s="8" t="s">
        <v>428</v>
      </c>
      <c r="D78" s="8" t="s">
        <v>429</v>
      </c>
      <c r="E78" s="8">
        <v>2022</v>
      </c>
      <c r="F78" s="154" t="str">
        <f t="shared" si="4"/>
        <v>DEFRA: Gasolina: WTT: 2022:: l</v>
      </c>
      <c r="G78" s="94">
        <f>J78/'FE DEFRA A1. Fuel Eq'!E54/1000</f>
        <v>0.27882354070476206</v>
      </c>
      <c r="H78" s="206" t="s">
        <v>678</v>
      </c>
      <c r="I78" s="8" t="s">
        <v>55</v>
      </c>
      <c r="J78" s="91">
        <v>580.94000000000005</v>
      </c>
      <c r="K78" s="87" t="s">
        <v>20</v>
      </c>
      <c r="L78" s="224"/>
      <c r="M78" s="224"/>
      <c r="N78" s="224"/>
      <c r="O78" s="86">
        <f>L78*'PAG100 FE GE'!$E$2+M78*'PAG100 FE GE'!$E$3+N78*'PAG100 FE GE'!$E$4</f>
        <v>0</v>
      </c>
      <c r="P78" s="86">
        <f>L78*'PAG20 FE GE'!$E$2+M78*'PAG20 FE GE'!$E$3+N78*'PAG20 FE GE'!$E$4</f>
        <v>0</v>
      </c>
      <c r="Q78" s="86">
        <f>L78*'PAG100 FE GE'!$D$2+M78*'PAG100 FE GE'!$D$3+N78*'PAG100 FE GE'!$D$4</f>
        <v>0</v>
      </c>
      <c r="R78" s="86">
        <f>L78*'PAG20 FE GE'!$D$2+M78*'PAG20 FE GE'!$D$3+N78*'PAG20 FE GE'!$D$4</f>
        <v>0</v>
      </c>
      <c r="S78" s="86">
        <f>L78*'PAG100 FE GE'!$C$2+M78*'PAG100 FE GE'!$C$3+N78*'PAG100 FE GE'!$C$4</f>
        <v>0</v>
      </c>
      <c r="T78" s="86">
        <f>L78*'PAG20 FE GE'!$C$2+M78*'PAG20 FE GE'!$C$3+N78*'PAG20 FE GE'!$C$4</f>
        <v>0</v>
      </c>
      <c r="U78" s="20">
        <f t="shared" si="2"/>
        <v>580.94000000000005</v>
      </c>
    </row>
    <row r="79" spans="1:21" x14ac:dyDescent="0.25">
      <c r="A79" s="8" t="s">
        <v>42</v>
      </c>
      <c r="B79" s="8" t="s">
        <v>454</v>
      </c>
      <c r="C79" s="8" t="s">
        <v>428</v>
      </c>
      <c r="D79" s="8" t="s">
        <v>429</v>
      </c>
      <c r="E79" s="8">
        <v>2022</v>
      </c>
      <c r="F79" s="154" t="str">
        <f t="shared" si="4"/>
        <v>DEFRA: Gasolina: WTT: 2022:: kWh (Net CV)</v>
      </c>
      <c r="G79" s="94">
        <f>J79/'FE DEFRA A1. Fuel Eq'!E55/1000</f>
        <v>0.2788056105326564</v>
      </c>
      <c r="H79" s="206" t="s">
        <v>678</v>
      </c>
      <c r="I79" s="8" t="s">
        <v>133</v>
      </c>
      <c r="J79" s="91">
        <v>64.8</v>
      </c>
      <c r="K79" s="87" t="s">
        <v>20</v>
      </c>
      <c r="L79" s="224"/>
      <c r="M79" s="224"/>
      <c r="N79" s="224"/>
      <c r="O79" s="86">
        <f>L79*'PAG100 FE GE'!$E$2+M79*'PAG100 FE GE'!$E$3+N79*'PAG100 FE GE'!$E$4</f>
        <v>0</v>
      </c>
      <c r="P79" s="86">
        <f>L79*'PAG20 FE GE'!$E$2+M79*'PAG20 FE GE'!$E$3+N79*'PAG20 FE GE'!$E$4</f>
        <v>0</v>
      </c>
      <c r="Q79" s="86">
        <f>L79*'PAG100 FE GE'!$D$2+M79*'PAG100 FE GE'!$D$3+N79*'PAG100 FE GE'!$D$4</f>
        <v>0</v>
      </c>
      <c r="R79" s="86">
        <f>L79*'PAG20 FE GE'!$D$2+M79*'PAG20 FE GE'!$D$3+N79*'PAG20 FE GE'!$D$4</f>
        <v>0</v>
      </c>
      <c r="S79" s="86">
        <f>L79*'PAG100 FE GE'!$C$2+M79*'PAG100 FE GE'!$C$3+N79*'PAG100 FE GE'!$C$4</f>
        <v>0</v>
      </c>
      <c r="T79" s="86">
        <f>L79*'PAG20 FE GE'!$C$2+M79*'PAG20 FE GE'!$C$3+N79*'PAG20 FE GE'!$C$4</f>
        <v>0</v>
      </c>
      <c r="U79" s="20">
        <f t="shared" si="2"/>
        <v>64.8</v>
      </c>
    </row>
    <row r="80" spans="1:21" x14ac:dyDescent="0.25">
      <c r="A80" s="8" t="s">
        <v>42</v>
      </c>
      <c r="B80" s="8" t="s">
        <v>454</v>
      </c>
      <c r="C80" s="8" t="s">
        <v>428</v>
      </c>
      <c r="D80" s="8" t="s">
        <v>429</v>
      </c>
      <c r="E80" s="8">
        <v>2022</v>
      </c>
      <c r="F80" s="154" t="str">
        <f t="shared" si="4"/>
        <v>DEFRA: Gasolina: WTT: 2022:: kWh (Gross CV)</v>
      </c>
      <c r="G80" s="94">
        <f>J80/'FE DEFRA A1. Fuel Eq'!E56/1000</f>
        <v>0.2788247581853685</v>
      </c>
      <c r="H80" s="206" t="s">
        <v>678</v>
      </c>
      <c r="I80" s="8" t="s">
        <v>134</v>
      </c>
      <c r="J80" s="91">
        <v>61.400000000000006</v>
      </c>
      <c r="K80" s="87" t="s">
        <v>20</v>
      </c>
      <c r="L80" s="224"/>
      <c r="M80" s="224"/>
      <c r="N80" s="224"/>
      <c r="O80" s="86">
        <f>L80*'PAG100 FE GE'!$E$2+M80*'PAG100 FE GE'!$E$3+N80*'PAG100 FE GE'!$E$4</f>
        <v>0</v>
      </c>
      <c r="P80" s="86">
        <f>L80*'PAG20 FE GE'!$E$2+M80*'PAG20 FE GE'!$E$3+N80*'PAG20 FE GE'!$E$4</f>
        <v>0</v>
      </c>
      <c r="Q80" s="86">
        <f>L80*'PAG100 FE GE'!$D$2+M80*'PAG100 FE GE'!$D$3+N80*'PAG100 FE GE'!$D$4</f>
        <v>0</v>
      </c>
      <c r="R80" s="86">
        <f>L80*'PAG20 FE GE'!$D$2+M80*'PAG20 FE GE'!$D$3+N80*'PAG20 FE GE'!$D$4</f>
        <v>0</v>
      </c>
      <c r="S80" s="86">
        <f>L80*'PAG100 FE GE'!$C$2+M80*'PAG100 FE GE'!$C$3+N80*'PAG100 FE GE'!$C$4</f>
        <v>0</v>
      </c>
      <c r="T80" s="86">
        <f>L80*'PAG20 FE GE'!$C$2+M80*'PAG20 FE GE'!$C$3+N80*'PAG20 FE GE'!$C$4</f>
        <v>0</v>
      </c>
      <c r="U80" s="20">
        <f t="shared" si="2"/>
        <v>61.400000000000006</v>
      </c>
    </row>
  </sheetData>
  <pageMargins left="0.7" right="0.7" top="0.75" bottom="0.75" header="0.3" footer="0.3"/>
  <customProperties>
    <customPr name="GU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8"/>
  <dimension ref="A1:B79"/>
  <sheetViews>
    <sheetView workbookViewId="0"/>
  </sheetViews>
  <sheetFormatPr defaultRowHeight="15" x14ac:dyDescent="0.25"/>
  <cols>
    <col min="1" max="1" width="67.5703125" bestFit="1" customWidth="1"/>
  </cols>
  <sheetData>
    <row r="1" spans="1:2" x14ac:dyDescent="0.25">
      <c r="A1" s="154" t="s">
        <v>687</v>
      </c>
      <c r="B1">
        <f t="array" ref="B1">SUM(IF(A$1:A$79=A1,1,0))</f>
        <v>1</v>
      </c>
    </row>
    <row r="2" spans="1:2" x14ac:dyDescent="0.25">
      <c r="A2" s="154" t="s">
        <v>686</v>
      </c>
      <c r="B2">
        <f t="array" ref="B2">SUM(IF(A$1:A$79=A2,1,0))</f>
        <v>1</v>
      </c>
    </row>
    <row r="3" spans="1:2" x14ac:dyDescent="0.25">
      <c r="A3" s="154" t="s">
        <v>711</v>
      </c>
      <c r="B3">
        <f t="array" ref="B3">SUM(IF(A$1:A$79=A3,1,0))</f>
        <v>1</v>
      </c>
    </row>
    <row r="4" spans="1:2" x14ac:dyDescent="0.25">
      <c r="A4" s="154" t="s">
        <v>714</v>
      </c>
      <c r="B4">
        <f t="array" ref="B4">SUM(IF(A$1:A$79=A4,1,0))</f>
        <v>1</v>
      </c>
    </row>
    <row r="5" spans="1:2" x14ac:dyDescent="0.25">
      <c r="A5" s="154" t="s">
        <v>713</v>
      </c>
      <c r="B5">
        <f t="array" ref="B5">SUM(IF(A$1:A$79=A5,1,0))</f>
        <v>1</v>
      </c>
    </row>
    <row r="6" spans="1:2" x14ac:dyDescent="0.25">
      <c r="A6" s="154" t="s">
        <v>712</v>
      </c>
      <c r="B6">
        <f t="array" ref="B6">SUM(IF(A$1:A$79=A6,1,0))</f>
        <v>1</v>
      </c>
    </row>
    <row r="7" spans="1:2" x14ac:dyDescent="0.25">
      <c r="A7" s="154" t="s">
        <v>710</v>
      </c>
      <c r="B7">
        <f t="array" ref="B7">SUM(IF(A$1:A$79=A7,1,0))</f>
        <v>1</v>
      </c>
    </row>
    <row r="8" spans="1:2" x14ac:dyDescent="0.25">
      <c r="A8" s="154" t="s">
        <v>708</v>
      </c>
      <c r="B8">
        <f t="array" ref="B8">SUM(IF(A$1:A$79=A8,1,0))</f>
        <v>1</v>
      </c>
    </row>
    <row r="9" spans="1:2" x14ac:dyDescent="0.25">
      <c r="A9" s="154" t="s">
        <v>709</v>
      </c>
      <c r="B9">
        <f t="array" ref="B9">SUM(IF(A$1:A$79=A9,1,0))</f>
        <v>1</v>
      </c>
    </row>
    <row r="10" spans="1:2" x14ac:dyDescent="0.25">
      <c r="A10" s="154" t="s">
        <v>751</v>
      </c>
      <c r="B10">
        <f t="array" ref="B10">SUM(IF(A$1:A$79=A10,1,0))</f>
        <v>1</v>
      </c>
    </row>
    <row r="11" spans="1:2" x14ac:dyDescent="0.25">
      <c r="A11" s="154" t="s">
        <v>754</v>
      </c>
      <c r="B11">
        <f t="array" ref="B11">SUM(IF(A$1:A$79=A11,1,0))</f>
        <v>1</v>
      </c>
    </row>
    <row r="12" spans="1:2" x14ac:dyDescent="0.25">
      <c r="A12" s="154" t="s">
        <v>753</v>
      </c>
      <c r="B12">
        <f t="array" ref="B12">SUM(IF(A$1:A$79=A12,1,0))</f>
        <v>1</v>
      </c>
    </row>
    <row r="13" spans="1:2" x14ac:dyDescent="0.25">
      <c r="A13" s="154" t="s">
        <v>752</v>
      </c>
      <c r="B13">
        <f t="array" ref="B13">SUM(IF(A$1:A$79=A13,1,0))</f>
        <v>1</v>
      </c>
    </row>
    <row r="14" spans="1:2" x14ac:dyDescent="0.25">
      <c r="A14" s="154" t="s">
        <v>750</v>
      </c>
      <c r="B14">
        <f t="array" ref="B14">SUM(IF(A$1:A$79=A14,1,0))</f>
        <v>1</v>
      </c>
    </row>
    <row r="15" spans="1:2" x14ac:dyDescent="0.25">
      <c r="A15" s="154" t="s">
        <v>756</v>
      </c>
      <c r="B15">
        <f t="array" ref="B15">SUM(IF(A$1:A$79=A15,1,0))</f>
        <v>1</v>
      </c>
    </row>
    <row r="16" spans="1:2" x14ac:dyDescent="0.25">
      <c r="A16" s="154" t="s">
        <v>759</v>
      </c>
      <c r="B16">
        <f t="array" ref="B16">SUM(IF(A$1:A$79=A16,1,0))</f>
        <v>1</v>
      </c>
    </row>
    <row r="17" spans="1:2" x14ac:dyDescent="0.25">
      <c r="A17" s="154" t="s">
        <v>758</v>
      </c>
      <c r="B17">
        <f t="array" ref="B17">SUM(IF(A$1:A$79=A17,1,0))</f>
        <v>1</v>
      </c>
    </row>
    <row r="18" spans="1:2" x14ac:dyDescent="0.25">
      <c r="A18" s="154" t="s">
        <v>757</v>
      </c>
      <c r="B18">
        <f t="array" ref="B18">SUM(IF(A$1:A$79=A18,1,0))</f>
        <v>1</v>
      </c>
    </row>
    <row r="19" spans="1:2" x14ac:dyDescent="0.25">
      <c r="A19" s="154" t="s">
        <v>755</v>
      </c>
      <c r="B19">
        <f t="array" ref="B19">SUM(IF(A$1:A$79=A19,1,0))</f>
        <v>1</v>
      </c>
    </row>
    <row r="20" spans="1:2" x14ac:dyDescent="0.25">
      <c r="A20" s="154" t="s">
        <v>746</v>
      </c>
      <c r="B20">
        <f t="array" ref="B20">SUM(IF(A$1:A$79=A20,1,0))</f>
        <v>1</v>
      </c>
    </row>
    <row r="21" spans="1:2" x14ac:dyDescent="0.25">
      <c r="A21" s="154" t="s">
        <v>749</v>
      </c>
      <c r="B21">
        <f t="array" ref="B21">SUM(IF(A$1:A$79=A21,1,0))</f>
        <v>1</v>
      </c>
    </row>
    <row r="22" spans="1:2" x14ac:dyDescent="0.25">
      <c r="A22" s="154" t="s">
        <v>748</v>
      </c>
      <c r="B22">
        <f t="array" ref="B22">SUM(IF(A$1:A$79=A22,1,0))</f>
        <v>1</v>
      </c>
    </row>
    <row r="23" spans="1:2" x14ac:dyDescent="0.25">
      <c r="A23" s="154" t="s">
        <v>747</v>
      </c>
      <c r="B23">
        <f t="array" ref="B23">SUM(IF(A$1:A$79=A23,1,0))</f>
        <v>1</v>
      </c>
    </row>
    <row r="24" spans="1:2" x14ac:dyDescent="0.25">
      <c r="A24" s="154" t="s">
        <v>745</v>
      </c>
      <c r="B24">
        <f t="array" ref="B24">SUM(IF(A$1:A$79=A24,1,0))</f>
        <v>1</v>
      </c>
    </row>
    <row r="25" spans="1:2" x14ac:dyDescent="0.25">
      <c r="A25" s="154" t="s">
        <v>761</v>
      </c>
      <c r="B25">
        <f t="array" ref="B25">SUM(IF(A$1:A$79=A25,1,0))</f>
        <v>1</v>
      </c>
    </row>
    <row r="26" spans="1:2" x14ac:dyDescent="0.25">
      <c r="A26" s="154" t="s">
        <v>764</v>
      </c>
      <c r="B26">
        <f t="array" ref="B26">SUM(IF(A$1:A$79=A26,1,0))</f>
        <v>1</v>
      </c>
    </row>
    <row r="27" spans="1:2" x14ac:dyDescent="0.25">
      <c r="A27" s="154" t="s">
        <v>763</v>
      </c>
      <c r="B27">
        <f t="array" ref="B27">SUM(IF(A$1:A$79=A27,1,0))</f>
        <v>1</v>
      </c>
    </row>
    <row r="28" spans="1:2" x14ac:dyDescent="0.25">
      <c r="A28" s="154" t="s">
        <v>762</v>
      </c>
      <c r="B28">
        <f t="array" ref="B28">SUM(IF(A$1:A$79=A28,1,0))</f>
        <v>1</v>
      </c>
    </row>
    <row r="29" spans="1:2" x14ac:dyDescent="0.25">
      <c r="A29" s="154" t="s">
        <v>760</v>
      </c>
      <c r="B29">
        <f t="array" ref="B29">SUM(IF(A$1:A$79=A29,1,0))</f>
        <v>1</v>
      </c>
    </row>
    <row r="30" spans="1:2" x14ac:dyDescent="0.25">
      <c r="A30" s="154" t="s">
        <v>736</v>
      </c>
      <c r="B30">
        <f t="array" ref="B30">SUM(IF(A$1:A$79=A30,1,0))</f>
        <v>1</v>
      </c>
    </row>
    <row r="31" spans="1:2" x14ac:dyDescent="0.25">
      <c r="A31" s="154" t="s">
        <v>739</v>
      </c>
      <c r="B31">
        <f t="array" ref="B31">SUM(IF(A$1:A$79=A31,1,0))</f>
        <v>1</v>
      </c>
    </row>
    <row r="32" spans="1:2" x14ac:dyDescent="0.25">
      <c r="A32" s="154" t="s">
        <v>738</v>
      </c>
      <c r="B32">
        <f t="array" ref="B32">SUM(IF(A$1:A$79=A32,1,0))</f>
        <v>1</v>
      </c>
    </row>
    <row r="33" spans="1:2" x14ac:dyDescent="0.25">
      <c r="A33" s="154" t="s">
        <v>737</v>
      </c>
      <c r="B33">
        <f t="array" ref="B33">SUM(IF(A$1:A$79=A33,1,0))</f>
        <v>1</v>
      </c>
    </row>
    <row r="34" spans="1:2" x14ac:dyDescent="0.25">
      <c r="A34" s="154" t="s">
        <v>735</v>
      </c>
      <c r="B34">
        <f t="array" ref="B34">SUM(IF(A$1:A$79=A34,1,0))</f>
        <v>1</v>
      </c>
    </row>
    <row r="35" spans="1:2" x14ac:dyDescent="0.25">
      <c r="A35" s="154" t="s">
        <v>731</v>
      </c>
      <c r="B35">
        <f t="array" ref="B35">SUM(IF(A$1:A$79=A35,1,0))</f>
        <v>1</v>
      </c>
    </row>
    <row r="36" spans="1:2" x14ac:dyDescent="0.25">
      <c r="A36" s="154" t="s">
        <v>734</v>
      </c>
      <c r="B36">
        <f t="array" ref="B36">SUM(IF(A$1:A$79=A36,1,0))</f>
        <v>1</v>
      </c>
    </row>
    <row r="37" spans="1:2" x14ac:dyDescent="0.25">
      <c r="A37" s="154" t="s">
        <v>733</v>
      </c>
      <c r="B37">
        <f t="array" ref="B37">SUM(IF(A$1:A$79=A37,1,0))</f>
        <v>1</v>
      </c>
    </row>
    <row r="38" spans="1:2" x14ac:dyDescent="0.25">
      <c r="A38" s="154" t="s">
        <v>732</v>
      </c>
      <c r="B38">
        <f t="array" ref="B38">SUM(IF(A$1:A$79=A38,1,0))</f>
        <v>1</v>
      </c>
    </row>
    <row r="39" spans="1:2" x14ac:dyDescent="0.25">
      <c r="A39" s="154" t="s">
        <v>730</v>
      </c>
      <c r="B39">
        <f t="array" ref="B39">SUM(IF(A$1:A$79=A39,1,0))</f>
        <v>1</v>
      </c>
    </row>
    <row r="40" spans="1:2" x14ac:dyDescent="0.25">
      <c r="A40" s="154" t="s">
        <v>716</v>
      </c>
      <c r="B40">
        <f t="array" ref="B40">SUM(IF(A$1:A$79=A40,1,0))</f>
        <v>1</v>
      </c>
    </row>
    <row r="41" spans="1:2" x14ac:dyDescent="0.25">
      <c r="A41" s="154" t="s">
        <v>719</v>
      </c>
      <c r="B41">
        <f t="array" ref="B41">SUM(IF(A$1:A$79=A41,1,0))</f>
        <v>1</v>
      </c>
    </row>
    <row r="42" spans="1:2" x14ac:dyDescent="0.25">
      <c r="A42" s="154" t="s">
        <v>718</v>
      </c>
      <c r="B42">
        <f t="array" ref="B42">SUM(IF(A$1:A$79=A42,1,0))</f>
        <v>1</v>
      </c>
    </row>
    <row r="43" spans="1:2" x14ac:dyDescent="0.25">
      <c r="A43" s="154" t="s">
        <v>717</v>
      </c>
      <c r="B43">
        <f t="array" ref="B43">SUM(IF(A$1:A$79=A43,1,0))</f>
        <v>1</v>
      </c>
    </row>
    <row r="44" spans="1:2" x14ac:dyDescent="0.25">
      <c r="A44" s="154" t="s">
        <v>715</v>
      </c>
      <c r="B44">
        <f t="array" ref="B44">SUM(IF(A$1:A$79=A44,1,0))</f>
        <v>1</v>
      </c>
    </row>
    <row r="45" spans="1:2" x14ac:dyDescent="0.25">
      <c r="A45" s="154" t="s">
        <v>721</v>
      </c>
      <c r="B45">
        <f t="array" ref="B45">SUM(IF(A$1:A$79=A45,1,0))</f>
        <v>1</v>
      </c>
    </row>
    <row r="46" spans="1:2" x14ac:dyDescent="0.25">
      <c r="A46" s="154" t="s">
        <v>724</v>
      </c>
      <c r="B46">
        <f t="array" ref="B46">SUM(IF(A$1:A$79=A46,1,0))</f>
        <v>1</v>
      </c>
    </row>
    <row r="47" spans="1:2" x14ac:dyDescent="0.25">
      <c r="A47" s="154" t="s">
        <v>723</v>
      </c>
      <c r="B47">
        <f t="array" ref="B47">SUM(IF(A$1:A$79=A47,1,0))</f>
        <v>1</v>
      </c>
    </row>
    <row r="48" spans="1:2" x14ac:dyDescent="0.25">
      <c r="A48" s="154" t="s">
        <v>722</v>
      </c>
      <c r="B48">
        <f t="array" ref="B48">SUM(IF(A$1:A$79=A48,1,0))</f>
        <v>1</v>
      </c>
    </row>
    <row r="49" spans="1:2" x14ac:dyDescent="0.25">
      <c r="A49" s="154" t="s">
        <v>720</v>
      </c>
      <c r="B49">
        <f t="array" ref="B49">SUM(IF(A$1:A$79=A49,1,0))</f>
        <v>1</v>
      </c>
    </row>
    <row r="50" spans="1:2" x14ac:dyDescent="0.25">
      <c r="A50" s="154" t="s">
        <v>726</v>
      </c>
      <c r="B50">
        <f t="array" ref="B50">SUM(IF(A$1:A$79=A50,1,0))</f>
        <v>1</v>
      </c>
    </row>
    <row r="51" spans="1:2" x14ac:dyDescent="0.25">
      <c r="A51" s="154" t="s">
        <v>729</v>
      </c>
      <c r="B51">
        <f t="array" ref="B51">SUM(IF(A$1:A$79=A51,1,0))</f>
        <v>1</v>
      </c>
    </row>
    <row r="52" spans="1:2" x14ac:dyDescent="0.25">
      <c r="A52" s="154" t="s">
        <v>728</v>
      </c>
      <c r="B52">
        <f t="array" ref="B52">SUM(IF(A$1:A$79=A52,1,0))</f>
        <v>1</v>
      </c>
    </row>
    <row r="53" spans="1:2" x14ac:dyDescent="0.25">
      <c r="A53" s="154" t="s">
        <v>727</v>
      </c>
      <c r="B53">
        <f t="array" ref="B53">SUM(IF(A$1:A$79=A53,1,0))</f>
        <v>1</v>
      </c>
    </row>
    <row r="54" spans="1:2" x14ac:dyDescent="0.25">
      <c r="A54" s="154" t="s">
        <v>725</v>
      </c>
      <c r="B54">
        <f t="array" ref="B54">SUM(IF(A$1:A$79=A54,1,0))</f>
        <v>1</v>
      </c>
    </row>
    <row r="55" spans="1:2" x14ac:dyDescent="0.25">
      <c r="A55" s="154" t="s">
        <v>740</v>
      </c>
      <c r="B55">
        <f t="array" ref="B55">SUM(IF(A$1:A$79=A55,1,0))</f>
        <v>1</v>
      </c>
    </row>
    <row r="56" spans="1:2" x14ac:dyDescent="0.25">
      <c r="A56" s="154" t="s">
        <v>744</v>
      </c>
      <c r="B56">
        <f t="array" ref="B56">SUM(IF(A$1:A$79=A56,1,0))</f>
        <v>1</v>
      </c>
    </row>
    <row r="57" spans="1:2" x14ac:dyDescent="0.25">
      <c r="A57" s="154" t="s">
        <v>743</v>
      </c>
      <c r="B57">
        <f t="array" ref="B57">SUM(IF(A$1:A$79=A57,1,0))</f>
        <v>1</v>
      </c>
    </row>
    <row r="58" spans="1:2" x14ac:dyDescent="0.25">
      <c r="A58" s="154" t="s">
        <v>742</v>
      </c>
      <c r="B58">
        <f t="array" ref="B58">SUM(IF(A$1:A$79=A58,1,0))</f>
        <v>1</v>
      </c>
    </row>
    <row r="59" spans="1:2" x14ac:dyDescent="0.25">
      <c r="A59" s="154" t="s">
        <v>741</v>
      </c>
      <c r="B59">
        <f t="array" ref="B59">SUM(IF(A$1:A$79=A59,1,0))</f>
        <v>1</v>
      </c>
    </row>
    <row r="60" spans="1:2" x14ac:dyDescent="0.25">
      <c r="A60" s="154" t="s">
        <v>707</v>
      </c>
      <c r="B60">
        <f t="array" ref="B60">SUM(IF(A$1:A$79=A60,1,0))</f>
        <v>1</v>
      </c>
    </row>
    <row r="61" spans="1:2" x14ac:dyDescent="0.25">
      <c r="A61" s="154" t="s">
        <v>706</v>
      </c>
      <c r="B61">
        <f t="array" ref="B61">SUM(IF(A$1:A$79=A61,1,0))</f>
        <v>1</v>
      </c>
    </row>
    <row r="62" spans="1:2" x14ac:dyDescent="0.25">
      <c r="A62" s="154" t="s">
        <v>705</v>
      </c>
      <c r="B62">
        <f t="array" ref="B62">SUM(IF(A$1:A$79=A62,1,0))</f>
        <v>1</v>
      </c>
    </row>
    <row r="63" spans="1:2" x14ac:dyDescent="0.25">
      <c r="A63" s="154" t="s">
        <v>704</v>
      </c>
      <c r="B63">
        <f t="array" ref="B63">SUM(IF(A$1:A$79=A63,1,0))</f>
        <v>1</v>
      </c>
    </row>
    <row r="64" spans="1:2" x14ac:dyDescent="0.25">
      <c r="A64" s="154" t="s">
        <v>703</v>
      </c>
      <c r="B64">
        <f t="array" ref="B64">SUM(IF(A$1:A$79=A64,1,0))</f>
        <v>1</v>
      </c>
    </row>
    <row r="65" spans="1:2" x14ac:dyDescent="0.25">
      <c r="A65" s="154" t="s">
        <v>702</v>
      </c>
      <c r="B65">
        <f t="array" ref="B65">SUM(IF(A$1:A$79=A65,1,0))</f>
        <v>1</v>
      </c>
    </row>
    <row r="66" spans="1:2" x14ac:dyDescent="0.25">
      <c r="A66" s="154" t="s">
        <v>701</v>
      </c>
      <c r="B66">
        <f t="array" ref="B66">SUM(IF(A$1:A$79=A66,1,0))</f>
        <v>1</v>
      </c>
    </row>
    <row r="67" spans="1:2" x14ac:dyDescent="0.25">
      <c r="A67" s="154" t="s">
        <v>700</v>
      </c>
      <c r="B67">
        <f t="array" ref="B67">SUM(IF(A$1:A$79=A67,1,0))</f>
        <v>1</v>
      </c>
    </row>
    <row r="68" spans="1:2" x14ac:dyDescent="0.25">
      <c r="A68" s="154" t="s">
        <v>699</v>
      </c>
      <c r="B68">
        <f t="array" ref="B68">SUM(IF(A$1:A$79=A68,1,0))</f>
        <v>1</v>
      </c>
    </row>
    <row r="69" spans="1:2" x14ac:dyDescent="0.25">
      <c r="A69" s="154" t="s">
        <v>698</v>
      </c>
      <c r="B69">
        <f t="array" ref="B69">SUM(IF(A$1:A$79=A69,1,0))</f>
        <v>1</v>
      </c>
    </row>
    <row r="70" spans="1:2" x14ac:dyDescent="0.25">
      <c r="A70" s="154" t="s">
        <v>697</v>
      </c>
      <c r="B70">
        <f t="array" ref="B70">SUM(IF(A$1:A$79=A70,1,0))</f>
        <v>1</v>
      </c>
    </row>
    <row r="71" spans="1:2" x14ac:dyDescent="0.25">
      <c r="A71" s="154" t="s">
        <v>696</v>
      </c>
      <c r="B71">
        <f t="array" ref="B71">SUM(IF(A$1:A$79=A71,1,0))</f>
        <v>1</v>
      </c>
    </row>
    <row r="72" spans="1:2" x14ac:dyDescent="0.25">
      <c r="A72" s="154" t="s">
        <v>695</v>
      </c>
      <c r="B72">
        <f t="array" ref="B72">SUM(IF(A$1:A$79=A72,1,0))</f>
        <v>1</v>
      </c>
    </row>
    <row r="73" spans="1:2" x14ac:dyDescent="0.25">
      <c r="A73" s="154" t="s">
        <v>694</v>
      </c>
      <c r="B73">
        <f t="array" ref="B73">SUM(IF(A$1:A$79=A73,1,0))</f>
        <v>1</v>
      </c>
    </row>
    <row r="74" spans="1:2" x14ac:dyDescent="0.25">
      <c r="A74" s="154" t="s">
        <v>693</v>
      </c>
      <c r="B74">
        <f t="array" ref="B74">SUM(IF(A$1:A$79=A74,1,0))</f>
        <v>1</v>
      </c>
    </row>
    <row r="75" spans="1:2" x14ac:dyDescent="0.25">
      <c r="A75" s="154" t="s">
        <v>692</v>
      </c>
      <c r="B75">
        <f t="array" ref="B75">SUM(IF(A$1:A$79=A75,1,0))</f>
        <v>1</v>
      </c>
    </row>
    <row r="76" spans="1:2" x14ac:dyDescent="0.25">
      <c r="A76" s="154" t="s">
        <v>691</v>
      </c>
      <c r="B76">
        <f t="array" ref="B76">SUM(IF(A$1:A$79=A76,1,0))</f>
        <v>1</v>
      </c>
    </row>
    <row r="77" spans="1:2" x14ac:dyDescent="0.25">
      <c r="A77" s="154" t="s">
        <v>690</v>
      </c>
      <c r="B77">
        <f t="array" ref="B77">SUM(IF(A$1:A$79=A77,1,0))</f>
        <v>1</v>
      </c>
    </row>
    <row r="78" spans="1:2" x14ac:dyDescent="0.25">
      <c r="A78" s="154" t="s">
        <v>689</v>
      </c>
      <c r="B78">
        <f t="array" ref="B78">SUM(IF(A$1:A$79=A78,1,0))</f>
        <v>1</v>
      </c>
    </row>
    <row r="79" spans="1:2" x14ac:dyDescent="0.25">
      <c r="A79" s="154" t="s">
        <v>688</v>
      </c>
      <c r="B79">
        <f t="array" ref="B79">SUM(IF(A$1:A$79=A79,1,0))</f>
        <v>1</v>
      </c>
    </row>
  </sheetData>
  <autoFilter ref="A1:A79">
    <sortState ref="A2:A79">
      <sortCondition ref="A1:A79"/>
    </sortState>
  </autoFilter>
  <sortState ref="A1:A79">
    <sortCondition ref="A1"/>
  </sortState>
  <pageMargins left="0.7" right="0.7" top="0.75" bottom="0.75" header="0.3" footer="0.3"/>
  <customProperties>
    <customPr name="GU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
  <dimension ref="A1:AL130"/>
  <sheetViews>
    <sheetView topLeftCell="A61" workbookViewId="0"/>
  </sheetViews>
  <sheetFormatPr defaultRowHeight="15" x14ac:dyDescent="0.25"/>
  <cols>
    <col min="1" max="1" width="30.140625" customWidth="1"/>
    <col min="2" max="2" width="15.140625" customWidth="1"/>
    <col min="3" max="3" width="19.85546875" customWidth="1"/>
    <col min="4" max="4" width="13.85546875" customWidth="1"/>
    <col min="5" max="5" width="59.140625" customWidth="1"/>
    <col min="6" max="6" width="11.85546875" customWidth="1"/>
    <col min="7" max="7" width="9.140625" customWidth="1"/>
    <col min="8" max="8" width="15.7109375" style="13" customWidth="1"/>
    <col min="9" max="14" width="12.5703125" customWidth="1"/>
    <col min="15" max="17" width="13.28515625" style="13" customWidth="1"/>
    <col min="18" max="23" width="12.42578125" customWidth="1"/>
    <col min="24" max="26" width="13.85546875" style="13" customWidth="1"/>
    <col min="27" max="32" width="11.5703125" style="13" customWidth="1"/>
    <col min="33" max="35" width="12.85546875" style="13" customWidth="1"/>
    <col min="36" max="36" width="9.140625" style="11"/>
  </cols>
  <sheetData>
    <row r="1" spans="1:38" ht="33.75" customHeight="1" thickBot="1" x14ac:dyDescent="0.3">
      <c r="A1" s="2" t="s">
        <v>11</v>
      </c>
      <c r="B1" s="2" t="s">
        <v>12</v>
      </c>
      <c r="C1" s="1" t="s">
        <v>0</v>
      </c>
      <c r="D1" s="3" t="s">
        <v>1</v>
      </c>
      <c r="E1" s="3" t="s">
        <v>511</v>
      </c>
      <c r="F1" s="3" t="s">
        <v>53</v>
      </c>
      <c r="G1" s="3" t="s">
        <v>54</v>
      </c>
      <c r="H1" s="12" t="s">
        <v>60</v>
      </c>
      <c r="I1" s="14" t="s">
        <v>64</v>
      </c>
      <c r="J1" s="14" t="s">
        <v>63</v>
      </c>
      <c r="K1" s="14" t="s">
        <v>61</v>
      </c>
      <c r="L1" s="14" t="s">
        <v>65</v>
      </c>
      <c r="M1" s="14" t="s">
        <v>62</v>
      </c>
      <c r="N1" s="14" t="s">
        <v>65</v>
      </c>
      <c r="O1" s="12" t="s">
        <v>47</v>
      </c>
      <c r="P1" s="12" t="s">
        <v>48</v>
      </c>
      <c r="Q1" s="12" t="s">
        <v>99</v>
      </c>
      <c r="R1" s="14" t="s">
        <v>66</v>
      </c>
      <c r="S1" s="14" t="s">
        <v>69</v>
      </c>
      <c r="T1" s="14" t="s">
        <v>67</v>
      </c>
      <c r="U1" s="14" t="s">
        <v>70</v>
      </c>
      <c r="V1" s="14" t="s">
        <v>68</v>
      </c>
      <c r="W1" s="14" t="s">
        <v>71</v>
      </c>
      <c r="X1" s="12" t="s">
        <v>49</v>
      </c>
      <c r="Y1" s="12" t="s">
        <v>50</v>
      </c>
      <c r="Z1" s="12" t="s">
        <v>100</v>
      </c>
      <c r="AA1" s="15" t="s">
        <v>72</v>
      </c>
      <c r="AB1" s="15" t="s">
        <v>75</v>
      </c>
      <c r="AC1" s="15" t="s">
        <v>73</v>
      </c>
      <c r="AD1" s="15" t="s">
        <v>76</v>
      </c>
      <c r="AE1" s="15" t="s">
        <v>74</v>
      </c>
      <c r="AF1" s="15" t="s">
        <v>77</v>
      </c>
      <c r="AG1" s="12" t="s">
        <v>51</v>
      </c>
      <c r="AH1" s="12" t="s">
        <v>52</v>
      </c>
      <c r="AI1" s="12" t="s">
        <v>101</v>
      </c>
      <c r="AJ1" s="26" t="s">
        <v>98</v>
      </c>
      <c r="AK1" s="221" t="s">
        <v>415</v>
      </c>
      <c r="AL1" s="221" t="s">
        <v>789</v>
      </c>
    </row>
    <row r="2" spans="1:38" ht="15.75" thickBot="1" x14ac:dyDescent="0.3">
      <c r="A2" s="4" t="s">
        <v>2</v>
      </c>
      <c r="B2" s="7" t="s">
        <v>13</v>
      </c>
      <c r="C2" s="5" t="s">
        <v>3</v>
      </c>
      <c r="D2" s="6" t="s">
        <v>8</v>
      </c>
      <c r="E2" s="6" t="str">
        <f>A2&amp;": "&amp;B2&amp;" : "&amp;C2&amp;" : "&amp;D2</f>
        <v>Pesado de Passageiros M3: I : Gasóleo : E0</v>
      </c>
      <c r="F2" s="6" t="s">
        <v>55</v>
      </c>
      <c r="G2" s="6" t="s">
        <v>96</v>
      </c>
      <c r="H2" s="9">
        <f>IF(G2="MJ",INDEX(Tabela1[Energia (MJ/Qtd.)],MATCH(C2,Tabela1[Fuel],0)),IF(G2="GJ",INDEX(Tabela1[Energia (GJ/Qtd.)2],MATCH(C2,Tabela1[Fuel],0)),"XXX"))</f>
        <v>3.5868000000000004E-2</v>
      </c>
      <c r="I2" s="9">
        <f>O2*'PAG100 FE GE'!$E$2+P2*'PAG100 FE GE'!$E$3+Q2*'PAG100 FE GE'!$E$4</f>
        <v>75019.73</v>
      </c>
      <c r="J2" s="9">
        <f>O2*'PAG20 FE GE'!$E$2+P2*'PAG20 FE GE'!$E$3+Q2*'PAG20 FE GE'!$E$4</f>
        <v>75430.14</v>
      </c>
      <c r="K2" s="9">
        <f>O2*'PAG100 FE GE'!$D$2+P2*'PAG100 FE GE'!$D$3+Q2*'PAG100 FE GE'!$D$4</f>
        <v>75010.100000000006</v>
      </c>
      <c r="L2" s="9">
        <f>O2*'PAG20 FE GE'!$D$2+P2*'PAG20 FE GE'!$D$3+Q2*'PAG20 FE GE'!$D$4</f>
        <v>75447.7</v>
      </c>
      <c r="M2" s="9">
        <f>O2*'PAG100 FE GE'!$C$2+P2*'PAG100 FE GE'!$C$3+Q2*'PAG100 FE GE'!$C$4</f>
        <v>75029.899999999994</v>
      </c>
      <c r="N2" s="9">
        <f>O2*'PAG20 FE GE'!$C$2+P2*'PAG20 FE GE'!$C$3+Q2*'PAG20 FE GE'!$C$4</f>
        <v>75380.099999999991</v>
      </c>
      <c r="O2" s="9">
        <f>74.45*1000</f>
        <v>74450</v>
      </c>
      <c r="P2" s="9">
        <f>0.0077*1000</f>
        <v>7.7</v>
      </c>
      <c r="Q2" s="9">
        <f>0.0013*1000</f>
        <v>1.3</v>
      </c>
      <c r="R2" s="9">
        <f>X2*'PAG100 FE GE'!$E$2+Y2*'PAG100 FE GE'!$E$3+Z2*'PAG100 FE GE'!$E$4</f>
        <v>2690.8076756400001</v>
      </c>
      <c r="S2" s="9">
        <f>X2*'PAG20 FE GE'!$E$2+Y2*'PAG20 FE GE'!$E$3+Z2*'PAG20 FE GE'!$E$4</f>
        <v>2705.5282615199999</v>
      </c>
      <c r="T2" s="9">
        <f>X2*'PAG100 FE GE'!$D$2+Y2*'PAG100 FE GE'!$D$3+Z2*'PAG100 FE GE'!$D$4</f>
        <v>2690.4622668000002</v>
      </c>
      <c r="U2" s="9">
        <f>X2*'PAG20 FE GE'!$D$2+Y2*'PAG20 FE GE'!$D$3+Z2*'PAG20 FE GE'!$D$4</f>
        <v>2706.1581036000002</v>
      </c>
      <c r="V2" s="9">
        <f>X2*'PAG100 FE GE'!$C$2+Y2*'PAG100 FE GE'!$C$3+Z2*'PAG100 FE GE'!$C$4</f>
        <v>2691.1724532000003</v>
      </c>
      <c r="W2" s="9">
        <f>X2*'PAG20 FE GE'!$C$2+Y2*'PAG20 FE GE'!$C$3+Z2*'PAG20 FE GE'!$C$4</f>
        <v>2703.7334268</v>
      </c>
      <c r="X2" s="9">
        <f>O2*$H2</f>
        <v>2670.3726000000001</v>
      </c>
      <c r="Y2" s="9">
        <f>P2*$H2</f>
        <v>0.27618360000000003</v>
      </c>
      <c r="Z2" s="9">
        <f>Q2*$H2</f>
        <v>4.6628400000000007E-2</v>
      </c>
      <c r="AA2" s="9">
        <f>AG2*'PAG100 FE GE'!$E$2+AH2*'PAG100 FE GE'!$E$3+AI2*'PAG100 FE GE'!$E$4</f>
        <v>1700.1724999999999</v>
      </c>
      <c r="AB2" s="9">
        <f>AG2*'PAG20 FE GE'!$E$2+AH2*'PAG20 FE GE'!$E$3+AI2*'PAG20 FE GE'!$E$4</f>
        <v>1709.5</v>
      </c>
      <c r="AC2" s="9">
        <f>AG2*'PAG100 FE GE'!$D$2+AH2*'PAG100 FE GE'!$D$3+AI2*'PAG100 FE GE'!$D$4</f>
        <v>1699.95</v>
      </c>
      <c r="AD2" s="9">
        <f>AG2*'PAG20 FE GE'!$D$2+AH2*'PAG20 FE GE'!$D$3+AI2*'PAG20 FE GE'!$D$4</f>
        <v>1709.895</v>
      </c>
      <c r="AE2" s="9">
        <f>AG2*'PAG100 FE GE'!$C$2+AH2*'PAG100 FE GE'!$C$3+AI2*'PAG100 FE GE'!$C$4</f>
        <v>1700.415</v>
      </c>
      <c r="AF2" s="9">
        <f>AG2*'PAG20 FE GE'!$C$2+AH2*'PAG20 FE GE'!$C$3+AI2*'PAG20 FE GE'!$C$4</f>
        <v>1708.37</v>
      </c>
      <c r="AG2" s="9">
        <v>1687.1</v>
      </c>
      <c r="AH2" s="9">
        <v>0.17499999999999999</v>
      </c>
      <c r="AI2" s="9">
        <v>0.03</v>
      </c>
      <c r="AJ2" s="11">
        <f t="shared" ref="AJ2:AJ9" si="0">AG2/X2*100</f>
        <v>63.178449329505547</v>
      </c>
      <c r="AK2" t="s">
        <v>424</v>
      </c>
      <c r="AL2" t="s">
        <v>791</v>
      </c>
    </row>
    <row r="3" spans="1:38" ht="15.75" thickBot="1" x14ac:dyDescent="0.3">
      <c r="A3" s="4" t="s">
        <v>2</v>
      </c>
      <c r="B3" s="7" t="s">
        <v>13</v>
      </c>
      <c r="C3" s="5" t="s">
        <v>3</v>
      </c>
      <c r="D3" s="6" t="s">
        <v>7</v>
      </c>
      <c r="E3" s="6" t="str">
        <f t="shared" ref="E3:E66" si="1">A3&amp;": "&amp;B3&amp;" : "&amp;C3&amp;" : "&amp;D3</f>
        <v>Pesado de Passageiros M3: I : Gasóleo : E1</v>
      </c>
      <c r="F3" s="6" t="s">
        <v>55</v>
      </c>
      <c r="G3" s="6" t="s">
        <v>96</v>
      </c>
      <c r="H3" s="9">
        <f>IF(G3="MJ",INDEX(Tabela1[Energia (MJ/Qtd.)],MATCH(C3,Tabela1[Fuel],0)),IF(G3="GJ",INDEX(Tabela1[Energia (GJ/Qtd.)2],MATCH(C3,Tabela1[Fuel],0)),"XXX"))</f>
        <v>3.5868000000000004E-2</v>
      </c>
      <c r="I3" s="9">
        <f>O3*'PAG100 FE GE'!$E$2+P3*'PAG100 FE GE'!$E$3+Q3*'PAG100 FE GE'!$E$4</f>
        <v>74876.53</v>
      </c>
      <c r="J3" s="9">
        <f>O3*'PAG20 FE GE'!$E$2+P3*'PAG20 FE GE'!$E$3+Q3*'PAG20 FE GE'!$E$4</f>
        <v>75340.240000000005</v>
      </c>
      <c r="K3" s="9">
        <f>O3*'PAG100 FE GE'!$D$2+P3*'PAG100 FE GE'!$D$3+Q3*'PAG100 FE GE'!$D$4</f>
        <v>74872.600000000006</v>
      </c>
      <c r="L3" s="9">
        <f>O3*'PAG20 FE GE'!$D$2+P3*'PAG20 FE GE'!$D$3+Q3*'PAG20 FE GE'!$D$4</f>
        <v>75367.899999999994</v>
      </c>
      <c r="M3" s="9">
        <f>O3*'PAG100 FE GE'!$C$2+P3*'PAG100 FE GE'!$C$3+Q3*'PAG100 FE GE'!$C$4</f>
        <v>74866.3</v>
      </c>
      <c r="N3" s="9">
        <f>O3*'PAG20 FE GE'!$C$2+P3*'PAG20 FE GE'!$C$3+Q3*'PAG20 FE GE'!$C$4</f>
        <v>75269.799999999988</v>
      </c>
      <c r="O3" s="9">
        <f>74.47*1000</f>
        <v>74470</v>
      </c>
      <c r="P3" s="9">
        <f>0.0087*1000</f>
        <v>8.6999999999999993</v>
      </c>
      <c r="Q3" s="9">
        <f>0.0006*1000</f>
        <v>0.6</v>
      </c>
      <c r="R3" s="9">
        <f>X3*'PAG100 FE GE'!$E$2+Y3*'PAG100 FE GE'!$E$3+Z3*'PAG100 FE GE'!$E$4</f>
        <v>2685.6713780400005</v>
      </c>
      <c r="S3" s="9">
        <f>X3*'PAG20 FE GE'!$E$2+Y3*'PAG20 FE GE'!$E$3+Z3*'PAG20 FE GE'!$E$4</f>
        <v>2702.3037283200001</v>
      </c>
      <c r="T3" s="9">
        <f>X3*'PAG100 FE GE'!$D$2+Y3*'PAG100 FE GE'!$D$3+Z3*'PAG100 FE GE'!$D$4</f>
        <v>2685.5304168000002</v>
      </c>
      <c r="U3" s="9">
        <f>X3*'PAG20 FE GE'!$D$2+Y3*'PAG20 FE GE'!$D$3+Z3*'PAG20 FE GE'!$D$4</f>
        <v>2703.2958372000003</v>
      </c>
      <c r="V3" s="9">
        <f>X3*'PAG100 FE GE'!$C$2+Y3*'PAG100 FE GE'!$C$3+Z3*'PAG100 FE GE'!$C$4</f>
        <v>2685.3044484000002</v>
      </c>
      <c r="W3" s="9">
        <f>X3*'PAG20 FE GE'!$C$2+Y3*'PAG20 FE GE'!$C$3+Z3*'PAG20 FE GE'!$C$4</f>
        <v>2699.7771864000001</v>
      </c>
      <c r="X3" s="9">
        <f t="shared" ref="X3:Z9" si="2">O3*$H3</f>
        <v>2671.0899600000002</v>
      </c>
      <c r="Y3" s="9">
        <f t="shared" si="2"/>
        <v>0.31205159999999998</v>
      </c>
      <c r="Z3" s="9">
        <f t="shared" si="2"/>
        <v>2.1520800000000003E-2</v>
      </c>
      <c r="AA3" s="9">
        <f>AG3*'PAG100 FE GE'!$E$2+AH3*'PAG100 FE GE'!$E$3+AI3*'PAG100 FE GE'!$E$4</f>
        <v>1511.4684999999999</v>
      </c>
      <c r="AB3" s="9">
        <f>AG3*'PAG20 FE GE'!$E$2+AH3*'PAG20 FE GE'!$E$3+AI3*'PAG20 FE GE'!$E$4</f>
        <v>1520.796</v>
      </c>
      <c r="AC3" s="9">
        <f>AG3*'PAG100 FE GE'!$D$2+AH3*'PAG100 FE GE'!$D$3+AI3*'PAG100 FE GE'!$D$4</f>
        <v>1511.39</v>
      </c>
      <c r="AD3" s="9">
        <f>AG3*'PAG20 FE GE'!$D$2+AH3*'PAG20 FE GE'!$D$3+AI3*'PAG20 FE GE'!$D$4</f>
        <v>1521.3529999999998</v>
      </c>
      <c r="AE3" s="9">
        <f>AG3*'PAG100 FE GE'!$C$2+AH3*'PAG100 FE GE'!$C$3+AI3*'PAG100 FE GE'!$C$4</f>
        <v>1511.261</v>
      </c>
      <c r="AF3" s="9">
        <f>AG3*'PAG20 FE GE'!$C$2+AH3*'PAG20 FE GE'!$C$3+AI3*'PAG20 FE GE'!$C$4</f>
        <v>1519.3779999999999</v>
      </c>
      <c r="AG3" s="9">
        <v>1503.31</v>
      </c>
      <c r="AH3" s="9">
        <v>0.17499999999999999</v>
      </c>
      <c r="AI3" s="9">
        <v>1.2E-2</v>
      </c>
      <c r="AJ3" s="11">
        <f t="shared" si="0"/>
        <v>56.280770116780332</v>
      </c>
      <c r="AK3" t="s">
        <v>424</v>
      </c>
      <c r="AL3" t="s">
        <v>791</v>
      </c>
    </row>
    <row r="4" spans="1:38" ht="15.75" thickBot="1" x14ac:dyDescent="0.3">
      <c r="A4" s="4" t="s">
        <v>2</v>
      </c>
      <c r="B4" s="7" t="s">
        <v>13</v>
      </c>
      <c r="C4" s="5" t="s">
        <v>3</v>
      </c>
      <c r="D4" s="6" t="s">
        <v>9</v>
      </c>
      <c r="E4" s="6" t="str">
        <f t="shared" si="1"/>
        <v>Pesado de Passageiros M3: I : Gasóleo : E2</v>
      </c>
      <c r="F4" s="6" t="s">
        <v>55</v>
      </c>
      <c r="G4" s="6" t="s">
        <v>96</v>
      </c>
      <c r="H4" s="9">
        <f>IF(G4="MJ",INDEX(Tabela1[Energia (MJ/Qtd.)],MATCH(C4,Tabela1[Fuel],0)),IF(G4="GJ",INDEX(Tabela1[Energia (GJ/Qtd.)2],MATCH(C4,Tabela1[Fuel],0)),"XXX"))</f>
        <v>3.5868000000000004E-2</v>
      </c>
      <c r="I4" s="9">
        <f>O4*'PAG100 FE GE'!$E$2+P4*'PAG100 FE GE'!$E$3+Q4*'PAG100 FE GE'!$E$4</f>
        <v>74798.41</v>
      </c>
      <c r="J4" s="9">
        <f>O4*'PAG20 FE GE'!$E$2+P4*'PAG20 FE GE'!$E$3+Q4*'PAG20 FE GE'!$E$4</f>
        <v>75112.88</v>
      </c>
      <c r="K4" s="9">
        <f>O4*'PAG100 FE GE'!$D$2+P4*'PAG100 FE GE'!$D$3+Q4*'PAG100 FE GE'!$D$4</f>
        <v>74794.2</v>
      </c>
      <c r="L4" s="9">
        <f>O4*'PAG20 FE GE'!$D$2+P4*'PAG20 FE GE'!$D$3+Q4*'PAG20 FE GE'!$D$4</f>
        <v>75129.899999999994</v>
      </c>
      <c r="M4" s="9">
        <f>O4*'PAG100 FE GE'!$C$2+P4*'PAG100 FE GE'!$C$3+Q4*'PAG100 FE GE'!$C$4</f>
        <v>74796.3</v>
      </c>
      <c r="N4" s="9">
        <f>O4*'PAG20 FE GE'!$C$2+P4*'PAG20 FE GE'!$C$3+Q4*'PAG20 FE GE'!$C$4</f>
        <v>75068.2</v>
      </c>
      <c r="O4" s="9">
        <f>74.47*1000</f>
        <v>74470</v>
      </c>
      <c r="P4" s="9">
        <f>0.0059*1000</f>
        <v>5.8999999999999995</v>
      </c>
      <c r="Q4" s="9">
        <f>0.0006*1000</f>
        <v>0.6</v>
      </c>
      <c r="R4" s="9">
        <f>X4*'PAG100 FE GE'!$E$2+Y4*'PAG100 FE GE'!$E$3+Z4*'PAG100 FE GE'!$E$4</f>
        <v>2682.8693698800002</v>
      </c>
      <c r="S4" s="9">
        <f>X4*'PAG20 FE GE'!$E$2+Y4*'PAG20 FE GE'!$E$3+Z4*'PAG20 FE GE'!$E$4</f>
        <v>2694.1487798400003</v>
      </c>
      <c r="T4" s="9">
        <f>X4*'PAG100 FE GE'!$D$2+Y4*'PAG100 FE GE'!$D$3+Z4*'PAG100 FE GE'!$D$4</f>
        <v>2682.7183656000002</v>
      </c>
      <c r="U4" s="9">
        <f>X4*'PAG20 FE GE'!$D$2+Y4*'PAG20 FE GE'!$D$3+Z4*'PAG20 FE GE'!$D$4</f>
        <v>2694.7592532000003</v>
      </c>
      <c r="V4" s="9">
        <f>X4*'PAG100 FE GE'!$C$2+Y4*'PAG100 FE GE'!$C$3+Z4*'PAG100 FE GE'!$C$4</f>
        <v>2682.7936884000005</v>
      </c>
      <c r="W4" s="9">
        <f>X4*'PAG20 FE GE'!$C$2+Y4*'PAG20 FE GE'!$C$3+Z4*'PAG20 FE GE'!$C$4</f>
        <v>2692.5461976000001</v>
      </c>
      <c r="X4" s="9">
        <f t="shared" si="2"/>
        <v>2671.0899600000002</v>
      </c>
      <c r="Y4" s="9">
        <f t="shared" si="2"/>
        <v>0.21162120000000001</v>
      </c>
      <c r="Z4" s="9">
        <f t="shared" si="2"/>
        <v>2.1520800000000003E-2</v>
      </c>
      <c r="AA4" s="9">
        <f>AG4*'PAG100 FE GE'!$E$2+AH4*'PAG100 FE GE'!$E$3+AI4*'PAG100 FE GE'!$E$4</f>
        <v>1447.459625</v>
      </c>
      <c r="AB4" s="9">
        <f>AG4*'PAG20 FE GE'!$E$2+AH4*'PAG20 FE GE'!$E$3+AI4*'PAG20 FE GE'!$E$4</f>
        <v>1453.5225</v>
      </c>
      <c r="AC4" s="9">
        <f>AG4*'PAG100 FE GE'!$D$2+AH4*'PAG100 FE GE'!$D$3+AI4*'PAG100 FE GE'!$D$4</f>
        <v>1447.375</v>
      </c>
      <c r="AD4" s="9">
        <f>AG4*'PAG20 FE GE'!$D$2+AH4*'PAG20 FE GE'!$D$3+AI4*'PAG20 FE GE'!$D$4</f>
        <v>1453.8467499999999</v>
      </c>
      <c r="AE4" s="9">
        <f>AG4*'PAG100 FE GE'!$C$2+AH4*'PAG100 FE GE'!$C$3+AI4*'PAG100 FE GE'!$C$4</f>
        <v>1447.42975</v>
      </c>
      <c r="AF4" s="9">
        <f>AG4*'PAG20 FE GE'!$C$2+AH4*'PAG20 FE GE'!$C$3+AI4*'PAG20 FE GE'!$C$4</f>
        <v>1452.6680000000001</v>
      </c>
      <c r="AG4" s="9">
        <v>1441.01</v>
      </c>
      <c r="AH4" s="9">
        <f>113.75/1000</f>
        <v>0.11375</v>
      </c>
      <c r="AI4" s="9">
        <v>1.2E-2</v>
      </c>
      <c r="AJ4" s="11">
        <f t="shared" si="0"/>
        <v>53.948388919106257</v>
      </c>
      <c r="AK4" t="s">
        <v>424</v>
      </c>
      <c r="AL4" t="s">
        <v>791</v>
      </c>
    </row>
    <row r="5" spans="1:38" ht="15.75" thickBot="1" x14ac:dyDescent="0.3">
      <c r="A5" s="4" t="s">
        <v>2</v>
      </c>
      <c r="B5" s="7" t="s">
        <v>13</v>
      </c>
      <c r="C5" s="5" t="s">
        <v>3</v>
      </c>
      <c r="D5" s="6" t="s">
        <v>10</v>
      </c>
      <c r="E5" s="6" t="str">
        <f t="shared" si="1"/>
        <v>Pesado de Passageiros M3: I : Gasóleo : E3</v>
      </c>
      <c r="F5" s="6" t="s">
        <v>55</v>
      </c>
      <c r="G5" s="6" t="s">
        <v>96</v>
      </c>
      <c r="H5" s="9">
        <f>IF(G5="MJ",INDEX(Tabela1[Energia (MJ/Qtd.)],MATCH(C5,Tabela1[Fuel],0)),IF(G5="GJ",INDEX(Tabela1[Energia (GJ/Qtd.)2],MATCH(C5,Tabela1[Fuel],0)),"XXX"))</f>
        <v>3.5868000000000004E-2</v>
      </c>
      <c r="I5" s="9">
        <f>O5*'PAG100 FE GE'!$E$2+P5*'PAG100 FE GE'!$E$3+Q5*'PAG100 FE GE'!$E$4</f>
        <v>74699.76999999999</v>
      </c>
      <c r="J5" s="9">
        <f>O5*'PAG20 FE GE'!$E$2+P5*'PAG20 FE GE'!$E$3+Q5*'PAG20 FE GE'!$E$4</f>
        <v>74982.259999999995</v>
      </c>
      <c r="K5" s="9">
        <f>O5*'PAG100 FE GE'!$D$2+P5*'PAG100 FE GE'!$D$3+Q5*'PAG100 FE GE'!$D$4</f>
        <v>74697.899999999994</v>
      </c>
      <c r="L5" s="9">
        <f>O5*'PAG20 FE GE'!$D$2+P5*'PAG20 FE GE'!$D$3+Q5*'PAG20 FE GE'!$D$4</f>
        <v>74999.7</v>
      </c>
      <c r="M5" s="9">
        <f>O5*'PAG100 FE GE'!$C$2+P5*'PAG100 FE GE'!$C$3+Q5*'PAG100 FE GE'!$C$4</f>
        <v>74691.899999999994</v>
      </c>
      <c r="N5" s="9">
        <f>O5*'PAG20 FE GE'!$C$2+P5*'PAG20 FE GE'!$C$3+Q5*'PAG20 FE GE'!$C$4</f>
        <v>74938.3</v>
      </c>
      <c r="O5" s="9">
        <f>74.47*1000</f>
        <v>74470</v>
      </c>
      <c r="P5" s="9">
        <f>0.0053*1000</f>
        <v>5.3</v>
      </c>
      <c r="Q5" s="9">
        <f>0.0003*1000</f>
        <v>0.3</v>
      </c>
      <c r="R5" s="9">
        <f>X5*'PAG100 FE GE'!$E$2+Y5*'PAG100 FE GE'!$E$3+Z5*'PAG100 FE GE'!$E$4</f>
        <v>2679.3313503600002</v>
      </c>
      <c r="S5" s="9">
        <f>X5*'PAG20 FE GE'!$E$2+Y5*'PAG20 FE GE'!$E$3+Z5*'PAG20 FE GE'!$E$4</f>
        <v>2689.4637016800002</v>
      </c>
      <c r="T5" s="9">
        <f>X5*'PAG100 FE GE'!$D$2+Y5*'PAG100 FE GE'!$D$3+Z5*'PAG100 FE GE'!$D$4</f>
        <v>2679.2642772000004</v>
      </c>
      <c r="U5" s="9">
        <f>X5*'PAG20 FE GE'!$D$2+Y5*'PAG20 FE GE'!$D$3+Z5*'PAG20 FE GE'!$D$4</f>
        <v>2690.0892396000004</v>
      </c>
      <c r="V5" s="9">
        <f>X5*'PAG100 FE GE'!$C$2+Y5*'PAG100 FE GE'!$C$3+Z5*'PAG100 FE GE'!$C$4</f>
        <v>2679.0490691999998</v>
      </c>
      <c r="W5" s="9">
        <f>X5*'PAG20 FE GE'!$C$2+Y5*'PAG20 FE GE'!$C$3+Z5*'PAG20 FE GE'!$C$4</f>
        <v>2687.8869444000002</v>
      </c>
      <c r="X5" s="9">
        <f t="shared" si="2"/>
        <v>2671.0899600000002</v>
      </c>
      <c r="Y5" s="9">
        <f t="shared" si="2"/>
        <v>0.1901004</v>
      </c>
      <c r="Z5" s="9">
        <f t="shared" si="2"/>
        <v>1.0760400000000002E-2</v>
      </c>
      <c r="AA5" s="9">
        <f>AG5*'PAG100 FE GE'!$E$2+AH5*'PAG100 FE GE'!$E$3+AI5*'PAG100 FE GE'!$E$4</f>
        <v>1450.268675</v>
      </c>
      <c r="AB5" s="9">
        <f>AG5*'PAG20 FE GE'!$E$2+AH5*'PAG20 FE GE'!$E$3+AI5*'PAG20 FE GE'!$E$4</f>
        <v>1455.7719</v>
      </c>
      <c r="AC5" s="9">
        <f>AG5*'PAG100 FE GE'!$D$2+AH5*'PAG100 FE GE'!$D$3+AI5*'PAG100 FE GE'!$D$4</f>
        <v>1450.231</v>
      </c>
      <c r="AD5" s="9">
        <f>AG5*'PAG20 FE GE'!$D$2+AH5*'PAG20 FE GE'!$D$3+AI5*'PAG20 FE GE'!$D$4</f>
        <v>1456.11025</v>
      </c>
      <c r="AE5" s="9">
        <f>AG5*'PAG100 FE GE'!$C$2+AH5*'PAG100 FE GE'!$C$3+AI5*'PAG100 FE GE'!$C$4</f>
        <v>1450.11925</v>
      </c>
      <c r="AF5" s="9">
        <f>AG5*'PAG20 FE GE'!$C$2+AH5*'PAG20 FE GE'!$C$3+AI5*'PAG20 FE GE'!$C$4</f>
        <v>1454.9179999999999</v>
      </c>
      <c r="AG5" s="9">
        <v>1445.75</v>
      </c>
      <c r="AH5" s="9">
        <f>103.25/1000</f>
        <v>0.10324999999999999</v>
      </c>
      <c r="AI5" s="9">
        <v>6.0000000000000001E-3</v>
      </c>
      <c r="AJ5" s="11">
        <f t="shared" si="0"/>
        <v>54.1258445672118</v>
      </c>
      <c r="AK5" t="s">
        <v>424</v>
      </c>
      <c r="AL5" t="s">
        <v>791</v>
      </c>
    </row>
    <row r="6" spans="1:38" ht="15.75" thickBot="1" x14ac:dyDescent="0.3">
      <c r="A6" s="4" t="s">
        <v>2</v>
      </c>
      <c r="B6" s="7" t="s">
        <v>13</v>
      </c>
      <c r="C6" s="5" t="s">
        <v>3</v>
      </c>
      <c r="D6" s="6" t="s">
        <v>4</v>
      </c>
      <c r="E6" s="6" t="str">
        <f t="shared" si="1"/>
        <v>Pesado de Passageiros M3: I : Gasóleo : E4</v>
      </c>
      <c r="F6" s="6" t="s">
        <v>55</v>
      </c>
      <c r="G6" s="6" t="s">
        <v>96</v>
      </c>
      <c r="H6" s="9">
        <f>IF(G6="MJ",INDEX(Tabela1[Energia (MJ/Qtd.)],MATCH(C6,Tabela1[Fuel],0)),IF(G6="GJ",INDEX(Tabela1[Energia (GJ/Qtd.)2],MATCH(C6,Tabela1[Fuel],0)),"XXX"))</f>
        <v>3.5868000000000004E-2</v>
      </c>
      <c r="I6" s="9">
        <f>O6*'PAG100 FE GE'!$E$2+P6*'PAG100 FE GE'!$E$3+Q6*'PAG100 FE GE'!$E$4</f>
        <v>75019.47</v>
      </c>
      <c r="J6" s="9">
        <f>O6*'PAG20 FE GE'!$E$2+P6*'PAG20 FE GE'!$E$3+Q6*'PAG20 FE GE'!$E$4</f>
        <v>75035.460000000006</v>
      </c>
      <c r="K6" s="9">
        <f>O6*'PAG100 FE GE'!$D$2+P6*'PAG100 FE GE'!$D$3+Q6*'PAG100 FE GE'!$D$4</f>
        <v>75013.899999999994</v>
      </c>
      <c r="L6" s="9">
        <f>O6*'PAG20 FE GE'!$D$2+P6*'PAG20 FE GE'!$D$3+Q6*'PAG20 FE GE'!$D$4</f>
        <v>75030.3</v>
      </c>
      <c r="M6" s="9">
        <f>O6*'PAG100 FE GE'!$C$2+P6*'PAG100 FE GE'!$C$3+Q6*'PAG100 FE GE'!$C$4</f>
        <v>75036.100000000006</v>
      </c>
      <c r="N6" s="9">
        <f>O6*'PAG20 FE GE'!$C$2+P6*'PAG20 FE GE'!$C$3+Q6*'PAG20 FE GE'!$C$4</f>
        <v>75043.900000000009</v>
      </c>
      <c r="O6" s="9">
        <f>74.82*1000</f>
        <v>74820</v>
      </c>
      <c r="P6" s="9">
        <f>0.0003*1000</f>
        <v>0.3</v>
      </c>
      <c r="Q6" s="9">
        <f>0.0007*1000</f>
        <v>0.7</v>
      </c>
      <c r="R6" s="9">
        <f>X6*'PAG100 FE GE'!$E$2+Y6*'PAG100 FE GE'!$E$3+Z6*'PAG100 FE GE'!$E$4</f>
        <v>2690.7983499600005</v>
      </c>
      <c r="S6" s="9">
        <f>X6*'PAG20 FE GE'!$E$2+Y6*'PAG20 FE GE'!$E$3+Z6*'PAG20 FE GE'!$E$4</f>
        <v>2691.3718792800005</v>
      </c>
      <c r="T6" s="9">
        <f>X6*'PAG100 FE GE'!$D$2+Y6*'PAG100 FE GE'!$D$3+Z6*'PAG100 FE GE'!$D$4</f>
        <v>2690.5985652000004</v>
      </c>
      <c r="U6" s="9">
        <f>X6*'PAG20 FE GE'!$D$2+Y6*'PAG20 FE GE'!$D$3+Z6*'PAG20 FE GE'!$D$4</f>
        <v>2691.1868004000007</v>
      </c>
      <c r="V6" s="9">
        <f>X6*'PAG100 FE GE'!$C$2+Y6*'PAG100 FE GE'!$C$3+Z6*'PAG100 FE GE'!$C$4</f>
        <v>2691.3948348000004</v>
      </c>
      <c r="W6" s="9">
        <f>X6*'PAG20 FE GE'!$C$2+Y6*'PAG20 FE GE'!$C$3+Z6*'PAG20 FE GE'!$C$4</f>
        <v>2691.6746052000003</v>
      </c>
      <c r="X6" s="9">
        <f t="shared" si="2"/>
        <v>2683.6437600000004</v>
      </c>
      <c r="Y6" s="9">
        <f t="shared" si="2"/>
        <v>1.0760400000000002E-2</v>
      </c>
      <c r="Z6" s="9">
        <f t="shared" si="2"/>
        <v>2.5107600000000001E-2</v>
      </c>
      <c r="AA6" s="9">
        <f>AG6*'PAG100 FE GE'!$E$2+AH6*'PAG100 FE GE'!$E$3+AI6*'PAG100 FE GE'!$E$4</f>
        <v>1284.0908750000001</v>
      </c>
      <c r="AB6" s="9">
        <f>AG6*'PAG20 FE GE'!$E$2+AH6*'PAG20 FE GE'!$E$3+AI6*'PAG20 FE GE'!$E$4</f>
        <v>1284.3707000000002</v>
      </c>
      <c r="AC6" s="9">
        <f>AG6*'PAG100 FE GE'!$D$2+AH6*'PAG100 FE GE'!$D$3+AI6*'PAG100 FE GE'!$D$4</f>
        <v>1283.989</v>
      </c>
      <c r="AD6" s="9">
        <f>AG6*'PAG20 FE GE'!$D$2+AH6*'PAG20 FE GE'!$D$3+AI6*'PAG20 FE GE'!$D$4</f>
        <v>1284.2754500000001</v>
      </c>
      <c r="AE6" s="9">
        <f>AG6*'PAG100 FE GE'!$C$2+AH6*'PAG100 FE GE'!$C$3+AI6*'PAG100 FE GE'!$C$4</f>
        <v>1284.3956499999999</v>
      </c>
      <c r="AF6" s="9">
        <f>AG6*'PAG20 FE GE'!$C$2+AH6*'PAG20 FE GE'!$C$3+AI6*'PAG20 FE GE'!$C$4</f>
        <v>1284.5272</v>
      </c>
      <c r="AG6" s="9">
        <v>1280.45</v>
      </c>
      <c r="AH6" s="9">
        <f>5.25/1000</f>
        <v>5.2500000000000003E-3</v>
      </c>
      <c r="AI6" s="9">
        <f>12.8/1000</f>
        <v>1.2800000000000001E-2</v>
      </c>
      <c r="AJ6" s="11">
        <f t="shared" si="0"/>
        <v>47.713113755456121</v>
      </c>
      <c r="AK6" t="s">
        <v>424</v>
      </c>
      <c r="AL6" t="s">
        <v>791</v>
      </c>
    </row>
    <row r="7" spans="1:38" ht="15.75" thickBot="1" x14ac:dyDescent="0.3">
      <c r="A7" s="4" t="s">
        <v>2</v>
      </c>
      <c r="B7" s="7" t="s">
        <v>13</v>
      </c>
      <c r="C7" s="5" t="s">
        <v>3</v>
      </c>
      <c r="D7" s="6" t="s">
        <v>5</v>
      </c>
      <c r="E7" s="6" t="str">
        <f t="shared" si="1"/>
        <v>Pesado de Passageiros M3: I : Gasóleo : E5</v>
      </c>
      <c r="F7" s="6" t="s">
        <v>55</v>
      </c>
      <c r="G7" s="6" t="s">
        <v>96</v>
      </c>
      <c r="H7" s="9">
        <f>IF(G7="MJ",INDEX(Tabela1[Energia (MJ/Qtd.)],MATCH(C7,Tabela1[Fuel],0)),IF(G7="GJ",INDEX(Tabela1[Energia (GJ/Qtd.)2],MATCH(C7,Tabela1[Fuel],0)),"XXX"))</f>
        <v>3.5868000000000004E-2</v>
      </c>
      <c r="I7" s="9">
        <f>O7*'PAG100 FE GE'!$E$2+P7*'PAG100 FE GE'!$E$3+Q7*'PAG100 FE GE'!$E$4</f>
        <v>75337.069999999992</v>
      </c>
      <c r="J7" s="9">
        <f>O7*'PAG20 FE GE'!$E$2+P7*'PAG20 FE GE'!$E$3+Q7*'PAG20 FE GE'!$E$4</f>
        <v>75353.06</v>
      </c>
      <c r="K7" s="9">
        <f>O7*'PAG100 FE GE'!$D$2+P7*'PAG100 FE GE'!$D$3+Q7*'PAG100 FE GE'!$D$4</f>
        <v>75321.899999999994</v>
      </c>
      <c r="L7" s="9">
        <f>O7*'PAG20 FE GE'!$D$2+P7*'PAG20 FE GE'!$D$3+Q7*'PAG20 FE GE'!$D$4</f>
        <v>75337.100000000006</v>
      </c>
      <c r="M7" s="9">
        <f>O7*'PAG100 FE GE'!$C$2+P7*'PAG100 FE GE'!$C$3+Q7*'PAG100 FE GE'!$C$4</f>
        <v>75383.7</v>
      </c>
      <c r="N7" s="9">
        <f>O7*'PAG20 FE GE'!$C$2+P7*'PAG20 FE GE'!$C$3+Q7*'PAG20 FE GE'!$C$4</f>
        <v>75380.700000000012</v>
      </c>
      <c r="O7" s="9">
        <f>74.81*1000</f>
        <v>74810</v>
      </c>
      <c r="P7" s="9">
        <f>0.0003*1000</f>
        <v>0.3</v>
      </c>
      <c r="Q7" s="9">
        <f>0.0019*1000</f>
        <v>1.9</v>
      </c>
      <c r="R7" s="9">
        <f>X7*'PAG100 FE GE'!$E$2+Y7*'PAG100 FE GE'!$E$3+Z7*'PAG100 FE GE'!$E$4</f>
        <v>2702.1900267599999</v>
      </c>
      <c r="S7" s="9">
        <f>X7*'PAG20 FE GE'!$E$2+Y7*'PAG20 FE GE'!$E$3+Z7*'PAG20 FE GE'!$E$4</f>
        <v>2702.7635560799999</v>
      </c>
      <c r="T7" s="9">
        <f>X7*'PAG100 FE GE'!$D$2+Y7*'PAG100 FE GE'!$D$3+Z7*'PAG100 FE GE'!$D$4</f>
        <v>2701.6459092</v>
      </c>
      <c r="U7" s="9">
        <f>X7*'PAG20 FE GE'!$D$2+Y7*'PAG20 FE GE'!$D$3+Z7*'PAG20 FE GE'!$D$4</f>
        <v>2702.1911028000004</v>
      </c>
      <c r="V7" s="9">
        <f>X7*'PAG100 FE GE'!$C$2+Y7*'PAG100 FE GE'!$C$3+Z7*'PAG100 FE GE'!$C$4</f>
        <v>2703.8625516000002</v>
      </c>
      <c r="W7" s="9">
        <f>X7*'PAG20 FE GE'!$C$2+Y7*'PAG20 FE GE'!$C$3+Z7*'PAG20 FE GE'!$C$4</f>
        <v>2703.7549475999999</v>
      </c>
      <c r="X7" s="9">
        <f t="shared" si="2"/>
        <v>2683.2850800000001</v>
      </c>
      <c r="Y7" s="9">
        <f t="shared" si="2"/>
        <v>1.0760400000000002E-2</v>
      </c>
      <c r="Z7" s="9">
        <f t="shared" si="2"/>
        <v>6.8149200000000007E-2</v>
      </c>
      <c r="AA7" s="9">
        <f>AG7*'PAG100 FE GE'!$E$2+AH7*'PAG100 FE GE'!$E$3+AI7*'PAG100 FE GE'!$E$4</f>
        <v>1308.200075</v>
      </c>
      <c r="AB7" s="9">
        <f>AG7*'PAG20 FE GE'!$E$2+AH7*'PAG20 FE GE'!$E$3+AI7*'PAG20 FE GE'!$E$4</f>
        <v>1308.4799</v>
      </c>
      <c r="AC7" s="9">
        <f>AG7*'PAG100 FE GE'!$D$2+AH7*'PAG100 FE GE'!$D$3+AI7*'PAG100 FE GE'!$D$4</f>
        <v>1307.9349999999999</v>
      </c>
      <c r="AD7" s="9">
        <f>AG7*'PAG20 FE GE'!$D$2+AH7*'PAG20 FE GE'!$D$3+AI7*'PAG20 FE GE'!$D$4</f>
        <v>1308.2010499999999</v>
      </c>
      <c r="AE7" s="9">
        <f>AG7*'PAG100 FE GE'!$C$2+AH7*'PAG100 FE GE'!$C$3+AI7*'PAG100 FE GE'!$C$4</f>
        <v>1309.01485</v>
      </c>
      <c r="AF7" s="9">
        <f>AG7*'PAG20 FE GE'!$C$2+AH7*'PAG20 FE GE'!$C$3+AI7*'PAG20 FE GE'!$C$4</f>
        <v>1308.9628</v>
      </c>
      <c r="AG7" s="9">
        <v>1298.99</v>
      </c>
      <c r="AH7" s="9">
        <f>5.25/1000</f>
        <v>5.2500000000000003E-3</v>
      </c>
      <c r="AI7" s="9">
        <f>33.2/1000</f>
        <v>3.32E-2</v>
      </c>
      <c r="AJ7" s="11">
        <f t="shared" si="0"/>
        <v>48.410435763314418</v>
      </c>
      <c r="AK7" t="s">
        <v>424</v>
      </c>
      <c r="AL7" t="s">
        <v>791</v>
      </c>
    </row>
    <row r="8" spans="1:38" ht="15.75" thickBot="1" x14ac:dyDescent="0.3">
      <c r="A8" s="4" t="s">
        <v>2</v>
      </c>
      <c r="B8" s="7" t="s">
        <v>13</v>
      </c>
      <c r="C8" s="5" t="s">
        <v>3</v>
      </c>
      <c r="D8" s="6" t="s">
        <v>6</v>
      </c>
      <c r="E8" s="6" t="str">
        <f t="shared" si="1"/>
        <v>Pesado de Passageiros M3: I : Gasóleo : E6</v>
      </c>
      <c r="F8" s="6" t="s">
        <v>55</v>
      </c>
      <c r="G8" s="6" t="s">
        <v>96</v>
      </c>
      <c r="H8" s="9">
        <f>IF(G8="MJ",INDEX(Tabela1[Energia (MJ/Qtd.)],MATCH(C8,Tabela1[Fuel],0)),IF(G8="GJ",INDEX(Tabela1[Energia (GJ/Qtd.)2],MATCH(C8,Tabela1[Fuel],0)),"XXX"))</f>
        <v>3.5868000000000004E-2</v>
      </c>
      <c r="I8" s="9">
        <f>O8*'PAG100 FE GE'!$E$2+P8*'PAG100 FE GE'!$E$3+Q8*'PAG100 FE GE'!$E$4</f>
        <v>75296.26999999999</v>
      </c>
      <c r="J8" s="9">
        <f>O8*'PAG20 FE GE'!$E$2+P8*'PAG20 FE GE'!$E$3+Q8*'PAG20 FE GE'!$E$4</f>
        <v>75312.259999999995</v>
      </c>
      <c r="K8" s="9">
        <f>O8*'PAG100 FE GE'!$D$2+P8*'PAG100 FE GE'!$D$3+Q8*'PAG100 FE GE'!$D$4</f>
        <v>75277.899999999994</v>
      </c>
      <c r="L8" s="9">
        <f>O8*'PAG20 FE GE'!$D$2+P8*'PAG20 FE GE'!$D$3+Q8*'PAG20 FE GE'!$D$4</f>
        <v>75292.7</v>
      </c>
      <c r="M8" s="9">
        <f>O8*'PAG100 FE GE'!$C$2+P8*'PAG100 FE GE'!$C$3+Q8*'PAG100 FE GE'!$C$4</f>
        <v>75352.899999999994</v>
      </c>
      <c r="N8" s="9">
        <f>O8*'PAG20 FE GE'!$C$2+P8*'PAG20 FE GE'!$C$3+Q8*'PAG20 FE GE'!$C$4</f>
        <v>75346.3</v>
      </c>
      <c r="O8" s="9">
        <f>74.66*1000</f>
        <v>74660</v>
      </c>
      <c r="P8" s="9">
        <f>0.0003*1000</f>
        <v>0.3</v>
      </c>
      <c r="Q8" s="9">
        <f>0.0023*1000</f>
        <v>2.2999999999999998</v>
      </c>
      <c r="R8" s="9">
        <f>X8*'PAG100 FE GE'!$E$2+Y8*'PAG100 FE GE'!$E$3+Z8*'PAG100 FE GE'!$E$4</f>
        <v>2700.7266123600002</v>
      </c>
      <c r="S8" s="9">
        <f>X8*'PAG20 FE GE'!$E$2+Y8*'PAG20 FE GE'!$E$3+Z8*'PAG20 FE GE'!$E$4</f>
        <v>2701.3001416800003</v>
      </c>
      <c r="T8" s="9">
        <f>X8*'PAG100 FE GE'!$D$2+Y8*'PAG100 FE GE'!$D$3+Z8*'PAG100 FE GE'!$D$4</f>
        <v>2700.0677172000005</v>
      </c>
      <c r="U8" s="9">
        <f>X8*'PAG20 FE GE'!$D$2+Y8*'PAG20 FE GE'!$D$3+Z8*'PAG20 FE GE'!$D$4</f>
        <v>2700.5985636000005</v>
      </c>
      <c r="V8" s="9">
        <f>X8*'PAG100 FE GE'!$C$2+Y8*'PAG100 FE GE'!$C$3+Z8*'PAG100 FE GE'!$C$4</f>
        <v>2702.7578172000003</v>
      </c>
      <c r="W8" s="9">
        <f>X8*'PAG20 FE GE'!$C$2+Y8*'PAG20 FE GE'!$C$3+Z8*'PAG20 FE GE'!$C$4</f>
        <v>2702.5210884000003</v>
      </c>
      <c r="X8" s="9">
        <f t="shared" si="2"/>
        <v>2677.9048800000005</v>
      </c>
      <c r="Y8" s="9">
        <f t="shared" si="2"/>
        <v>1.0760400000000002E-2</v>
      </c>
      <c r="Z8" s="9">
        <f t="shared" si="2"/>
        <v>8.2496399999999998E-2</v>
      </c>
      <c r="AA8" s="9">
        <f>AG8*'PAG100 FE GE'!$E$2+AH8*'PAG100 FE GE'!$E$3+AI8*'PAG100 FE GE'!$E$4</f>
        <v>1385.585975</v>
      </c>
      <c r="AB8" s="9">
        <f>AG8*'PAG20 FE GE'!$E$2+AH8*'PAG20 FE GE'!$E$3+AI8*'PAG20 FE GE'!$E$4</f>
        <v>1385.8658</v>
      </c>
      <c r="AC8" s="9">
        <f>AG8*'PAG100 FE GE'!$D$2+AH8*'PAG100 FE GE'!$D$3+AI8*'PAG100 FE GE'!$D$4</f>
        <v>1385.2544999999998</v>
      </c>
      <c r="AD8" s="9">
        <f>AG8*'PAG20 FE GE'!$D$2+AH8*'PAG20 FE GE'!$D$3+AI8*'PAG20 FE GE'!$D$4</f>
        <v>1385.5122499999998</v>
      </c>
      <c r="AE8" s="9">
        <f>AG8*'PAG100 FE GE'!$C$2+AH8*'PAG100 FE GE'!$C$3+AI8*'PAG100 FE GE'!$C$4</f>
        <v>1386.6082499999998</v>
      </c>
      <c r="AF8" s="9">
        <f>AG8*'PAG20 FE GE'!$C$2+AH8*'PAG20 FE GE'!$C$3+AI8*'PAG20 FE GE'!$C$4</f>
        <v>1386.4814999999999</v>
      </c>
      <c r="AG8" s="9">
        <v>1374.11</v>
      </c>
      <c r="AH8" s="9">
        <f>5.25/1000</f>
        <v>5.2500000000000003E-3</v>
      </c>
      <c r="AI8" s="9">
        <f>41.5/1000</f>
        <v>4.1500000000000002E-2</v>
      </c>
      <c r="AJ8" s="11">
        <f t="shared" si="0"/>
        <v>51.312875608934981</v>
      </c>
      <c r="AK8" t="s">
        <v>424</v>
      </c>
      <c r="AL8" t="s">
        <v>791</v>
      </c>
    </row>
    <row r="9" spans="1:38" ht="15.75" thickBot="1" x14ac:dyDescent="0.3">
      <c r="A9" s="4" t="s">
        <v>2</v>
      </c>
      <c r="B9" s="7" t="s">
        <v>13</v>
      </c>
      <c r="C9" s="5" t="s">
        <v>3</v>
      </c>
      <c r="D9" s="6" t="s">
        <v>81</v>
      </c>
      <c r="E9" s="6" t="str">
        <f t="shared" si="1"/>
        <v>Pesado de Passageiros M3: I : Gasóleo : E6 D/E E7</v>
      </c>
      <c r="F9" s="6" t="s">
        <v>55</v>
      </c>
      <c r="G9" s="6" t="s">
        <v>96</v>
      </c>
      <c r="H9" s="9">
        <f>IF(G9="MJ",INDEX(Tabela1[Energia (MJ/Qtd.)],MATCH(C9,Tabela1[Fuel],0)),IF(G9="GJ",INDEX(Tabela1[Energia (GJ/Qtd.)2],MATCH(C9,Tabela1[Fuel],0)),"XXX"))</f>
        <v>3.5868000000000004E-2</v>
      </c>
      <c r="I9" s="9">
        <f>O9*'PAG100 FE GE'!$E$2+P9*'PAG100 FE GE'!$E$3+Q9*'PAG100 FE GE'!$E$4</f>
        <v>75296.26999999999</v>
      </c>
      <c r="J9" s="9">
        <f>O9*'PAG20 FE GE'!$E$2+P9*'PAG20 FE GE'!$E$3+Q9*'PAG20 FE GE'!$E$4</f>
        <v>75312.259999999995</v>
      </c>
      <c r="K9" s="9">
        <f>O9*'PAG100 FE GE'!$D$2+P9*'PAG100 FE GE'!$D$3+Q9*'PAG100 FE GE'!$D$4</f>
        <v>75277.899999999994</v>
      </c>
      <c r="L9" s="9">
        <f>O9*'PAG20 FE GE'!$D$2+P9*'PAG20 FE GE'!$D$3+Q9*'PAG20 FE GE'!$D$4</f>
        <v>75292.7</v>
      </c>
      <c r="M9" s="9">
        <f>O9*'PAG100 FE GE'!$C$2+P9*'PAG100 FE GE'!$C$3+Q9*'PAG100 FE GE'!$C$4</f>
        <v>75352.899999999994</v>
      </c>
      <c r="N9" s="9">
        <f>O9*'PAG20 FE GE'!$C$2+P9*'PAG20 FE GE'!$C$3+Q9*'PAG20 FE GE'!$C$4</f>
        <v>75346.3</v>
      </c>
      <c r="O9" s="9">
        <f>74.66*1000</f>
        <v>74660</v>
      </c>
      <c r="P9" s="9">
        <f>0.0003*1000</f>
        <v>0.3</v>
      </c>
      <c r="Q9" s="9">
        <f>0.0023*1000</f>
        <v>2.2999999999999998</v>
      </c>
      <c r="R9" s="9">
        <f>X9*'PAG100 FE GE'!$E$2+Y9*'PAG100 FE GE'!$E$3+Z9*'PAG100 FE GE'!$E$4</f>
        <v>2700.7266123600002</v>
      </c>
      <c r="S9" s="9">
        <f>X9*'PAG20 FE GE'!$E$2+Y9*'PAG20 FE GE'!$E$3+Z9*'PAG20 FE GE'!$E$4</f>
        <v>2701.3001416800003</v>
      </c>
      <c r="T9" s="9">
        <f>X9*'PAG100 FE GE'!$D$2+Y9*'PAG100 FE GE'!$D$3+Z9*'PAG100 FE GE'!$D$4</f>
        <v>2700.0677172000005</v>
      </c>
      <c r="U9" s="9">
        <f>X9*'PAG20 FE GE'!$D$2+Y9*'PAG20 FE GE'!$D$3+Z9*'PAG20 FE GE'!$D$4</f>
        <v>2700.5985636000005</v>
      </c>
      <c r="V9" s="9">
        <f>X9*'PAG100 FE GE'!$C$2+Y9*'PAG100 FE GE'!$C$3+Z9*'PAG100 FE GE'!$C$4</f>
        <v>2702.7578172000003</v>
      </c>
      <c r="W9" s="9">
        <f>X9*'PAG20 FE GE'!$C$2+Y9*'PAG20 FE GE'!$C$3+Z9*'PAG20 FE GE'!$C$4</f>
        <v>2702.5210884000003</v>
      </c>
      <c r="X9" s="9">
        <f t="shared" si="2"/>
        <v>2677.9048800000005</v>
      </c>
      <c r="Y9" s="9">
        <f t="shared" si="2"/>
        <v>1.0760400000000002E-2</v>
      </c>
      <c r="Z9" s="9">
        <f t="shared" si="2"/>
        <v>8.2496399999999998E-2</v>
      </c>
      <c r="AA9" s="9">
        <f>AG9*'PAG100 FE GE'!$E$2+AH9*'PAG100 FE GE'!$E$3+AI9*'PAG100 FE GE'!$E$4</f>
        <v>1378.8859750000001</v>
      </c>
      <c r="AB9" s="9">
        <f>AG9*'PAG20 FE GE'!$E$2+AH9*'PAG20 FE GE'!$E$3+AI9*'PAG20 FE GE'!$E$4</f>
        <v>1379.1658000000002</v>
      </c>
      <c r="AC9" s="9">
        <f>AG9*'PAG100 FE GE'!$D$2+AH9*'PAG100 FE GE'!$D$3+AI9*'PAG100 FE GE'!$D$4</f>
        <v>1378.5545</v>
      </c>
      <c r="AD9" s="9">
        <f>AG9*'PAG20 FE GE'!$D$2+AH9*'PAG20 FE GE'!$D$3+AI9*'PAG20 FE GE'!$D$4</f>
        <v>1378.8122499999999</v>
      </c>
      <c r="AE9" s="9">
        <f>AG9*'PAG100 FE GE'!$C$2+AH9*'PAG100 FE GE'!$C$3+AI9*'PAG100 FE GE'!$C$4</f>
        <v>1379.90825</v>
      </c>
      <c r="AF9" s="9">
        <f>AG9*'PAG20 FE GE'!$C$2+AH9*'PAG20 FE GE'!$C$3+AI9*'PAG20 FE GE'!$C$4</f>
        <v>1379.7815000000001</v>
      </c>
      <c r="AG9" s="9">
        <v>1367.41</v>
      </c>
      <c r="AH9" s="9">
        <f>5.25/1000</f>
        <v>5.2500000000000003E-3</v>
      </c>
      <c r="AI9" s="9">
        <f>41.5/1000</f>
        <v>4.1500000000000002E-2</v>
      </c>
      <c r="AJ9" s="11">
        <f t="shared" si="0"/>
        <v>51.062680015729299</v>
      </c>
      <c r="AK9" t="s">
        <v>424</v>
      </c>
      <c r="AL9" t="s">
        <v>791</v>
      </c>
    </row>
    <row r="10" spans="1:38" ht="15.75" thickBot="1" x14ac:dyDescent="0.3">
      <c r="A10" s="4" t="s">
        <v>2</v>
      </c>
      <c r="B10" s="7" t="s">
        <v>13</v>
      </c>
      <c r="C10" s="5" t="s">
        <v>92</v>
      </c>
      <c r="D10" s="6" t="s">
        <v>8</v>
      </c>
      <c r="E10" s="6" t="str">
        <f t="shared" si="1"/>
        <v>Pesado de Passageiros M3: I : GNC : E0</v>
      </c>
      <c r="F10" s="6" t="s">
        <v>56</v>
      </c>
      <c r="G10" s="6" t="s">
        <v>96</v>
      </c>
      <c r="H10" s="9">
        <f>IF(G10="MJ",INDEX(Tabela1[Energia (MJ/Qtd.)],MATCH(C10,Tabela1[Fuel],0)),IF(G10="GJ",INDEX(Tabela1[Energia (GJ/Qtd.)2],MATCH(C10,Tabela1[Fuel],0)),"XXX"))</f>
        <v>3.7521600000000002E-2</v>
      </c>
      <c r="I10" s="17">
        <f>O10*'PAG100 FE GE'!$E$2+P10*'PAG100 FE GE'!$E$3+Q10*'PAG100 FE GE'!$E$4</f>
        <v>-301.89999999999998</v>
      </c>
      <c r="J10" s="17">
        <f>O10*'PAG20 FE GE'!$E$2+P10*'PAG20 FE GE'!$E$3+Q10*'PAG20 FE GE'!$E$4</f>
        <v>-355.2</v>
      </c>
      <c r="K10" s="17">
        <f>O10*'PAG100 FE GE'!$D$2+P10*'PAG100 FE GE'!$D$3+Q10*'PAG100 FE GE'!$D$4</f>
        <v>-294</v>
      </c>
      <c r="L10" s="17">
        <f>O10*'PAG20 FE GE'!$D$2+P10*'PAG20 FE GE'!$D$3+Q10*'PAG20 FE GE'!$D$4</f>
        <v>-350</v>
      </c>
      <c r="M10" s="17">
        <f>O10*'PAG100 FE GE'!$C$2+P10*'PAG100 FE GE'!$C$3+Q10*'PAG100 FE GE'!$C$4</f>
        <v>-324</v>
      </c>
      <c r="N10" s="17">
        <f>O10*'PAG20 FE GE'!$C$2+P10*'PAG20 FE GE'!$C$3+Q10*'PAG20 FE GE'!$C$4</f>
        <v>-362</v>
      </c>
      <c r="O10" s="17">
        <v>-1</v>
      </c>
      <c r="P10" s="17">
        <v>-1</v>
      </c>
      <c r="Q10" s="17">
        <v>-1</v>
      </c>
      <c r="R10" s="17">
        <f>X10*'PAG100 FE GE'!$E$2+Y10*'PAG100 FE GE'!$E$3+Z10*'PAG100 FE GE'!$E$4</f>
        <v>-301.89999999999998</v>
      </c>
      <c r="S10" s="17">
        <f>X10*'PAG20 FE GE'!$E$2+Y10*'PAG20 FE GE'!$E$3+Z10*'PAG20 FE GE'!$E$4</f>
        <v>-355.2</v>
      </c>
      <c r="T10" s="17">
        <f>X10*'PAG100 FE GE'!$D$2+Y10*'PAG100 FE GE'!$D$3+Z10*'PAG100 FE GE'!$D$4</f>
        <v>-294</v>
      </c>
      <c r="U10" s="17">
        <f>X10*'PAG20 FE GE'!$D$2+Y10*'PAG20 FE GE'!$D$3+Z10*'PAG20 FE GE'!$D$4</f>
        <v>-350</v>
      </c>
      <c r="V10" s="17">
        <f>X10*'PAG100 FE GE'!$C$2+Y10*'PAG100 FE GE'!$C$3+Z10*'PAG100 FE GE'!$C$4</f>
        <v>-324</v>
      </c>
      <c r="W10" s="17">
        <f>X10*'PAG20 FE GE'!$C$2+Y10*'PAG20 FE GE'!$C$3+Z10*'PAG20 FE GE'!$C$4</f>
        <v>-362</v>
      </c>
      <c r="X10" s="17">
        <v>-1</v>
      </c>
      <c r="Y10" s="17">
        <v>-1</v>
      </c>
      <c r="Z10" s="17">
        <v>-1</v>
      </c>
      <c r="AA10" s="17">
        <f>AG10*'PAG100 FE GE'!$E$2+AH10*'PAG100 FE GE'!$E$3+AI10*'PAG100 FE GE'!$E$4</f>
        <v>-301.89999999999998</v>
      </c>
      <c r="AB10" s="17">
        <f>AG10*'PAG20 FE GE'!$E$2+AH10*'PAG20 FE GE'!$E$3+AI10*'PAG20 FE GE'!$E$4</f>
        <v>-355.2</v>
      </c>
      <c r="AC10" s="17">
        <f>AG10*'PAG100 FE GE'!$D$2+AH10*'PAG100 FE GE'!$D$3+AI10*'PAG100 FE GE'!$D$4</f>
        <v>-294</v>
      </c>
      <c r="AD10" s="17">
        <f>AG10*'PAG20 FE GE'!$D$2+AH10*'PAG20 FE GE'!$D$3+AI10*'PAG20 FE GE'!$D$4</f>
        <v>-350</v>
      </c>
      <c r="AE10" s="17">
        <f>AG10*'PAG100 FE GE'!$C$2+AH10*'PAG100 FE GE'!$C$3+AI10*'PAG100 FE GE'!$C$4</f>
        <v>-324</v>
      </c>
      <c r="AF10" s="17">
        <f>AG10*'PAG20 FE GE'!$C$2+AH10*'PAG20 FE GE'!$C$3+AI10*'PAG20 FE GE'!$C$4</f>
        <v>-362</v>
      </c>
      <c r="AG10" s="17">
        <v>-1</v>
      </c>
      <c r="AH10" s="17">
        <v>-1</v>
      </c>
      <c r="AI10" s="17">
        <v>-1</v>
      </c>
      <c r="AJ10" s="27">
        <v>-1</v>
      </c>
      <c r="AK10" t="s">
        <v>424</v>
      </c>
      <c r="AL10" t="s">
        <v>791</v>
      </c>
    </row>
    <row r="11" spans="1:38" ht="15.75" thickBot="1" x14ac:dyDescent="0.3">
      <c r="A11" s="4" t="s">
        <v>2</v>
      </c>
      <c r="B11" s="7" t="s">
        <v>13</v>
      </c>
      <c r="C11" s="5" t="s">
        <v>92</v>
      </c>
      <c r="D11" s="6" t="s">
        <v>7</v>
      </c>
      <c r="E11" s="6" t="str">
        <f t="shared" si="1"/>
        <v>Pesado de Passageiros M3: I : GNC : E1</v>
      </c>
      <c r="F11" s="6" t="s">
        <v>56</v>
      </c>
      <c r="G11" s="6" t="s">
        <v>96</v>
      </c>
      <c r="H11" s="9">
        <f>IF(G11="MJ",INDEX(Tabela1[Energia (MJ/Qtd.)],MATCH(C11,Tabela1[Fuel],0)),IF(G11="GJ",INDEX(Tabela1[Energia (GJ/Qtd.)2],MATCH(C11,Tabela1[Fuel],0)),"XXX"))</f>
        <v>3.7521600000000002E-2</v>
      </c>
      <c r="I11" s="9">
        <f>O11*'PAG100 FE GE'!$E$2+P11*'PAG100 FE GE'!$E$3+Q11*'PAG100 FE GE'!$E$4</f>
        <v>74610.37</v>
      </c>
      <c r="J11" s="9">
        <f>O11*'PAG20 FE GE'!$E$2+P11*'PAG20 FE GE'!$E$3+Q11*'PAG20 FE GE'!$E$4</f>
        <v>88217.86</v>
      </c>
      <c r="K11" s="9">
        <f>O11*'PAG100 FE GE'!$D$2+P11*'PAG100 FE GE'!$D$3+Q11*'PAG100 FE GE'!$D$4</f>
        <v>74335.899999999994</v>
      </c>
      <c r="L11" s="9">
        <f>O11*'PAG20 FE GE'!$D$2+P11*'PAG20 FE GE'!$D$3+Q11*'PAG20 FE GE'!$D$4</f>
        <v>88850.5</v>
      </c>
      <c r="M11" s="9">
        <f>O11*'PAG100 FE GE'!$C$2+P11*'PAG100 FE GE'!$C$3+Q11*'PAG100 FE GE'!$C$4</f>
        <v>74807.5</v>
      </c>
      <c r="N11" s="9">
        <f>O11*'PAG20 FE GE'!$C$2+P11*'PAG20 FE GE'!$C$3+Q11*'PAG20 FE GE'!$C$4</f>
        <v>86469.1</v>
      </c>
      <c r="O11" s="9">
        <f>57.25*1000</f>
        <v>57250</v>
      </c>
      <c r="P11" s="9">
        <f>0.2553*1000</f>
        <v>255.30000000000004</v>
      </c>
      <c r="Q11" s="9">
        <f>0.0375*1000</f>
        <v>37.5</v>
      </c>
      <c r="R11" s="9">
        <f>X11*'PAG100 FE GE'!$E$2+Y11*'PAG100 FE GE'!$E$3+Z11*'PAG100 FE GE'!$E$4</f>
        <v>2799.5004589919999</v>
      </c>
      <c r="S11" s="9">
        <f>X11*'PAG20 FE GE'!$E$2+Y11*'PAG20 FE GE'!$E$3+Z11*'PAG20 FE GE'!$E$4</f>
        <v>3310.0752557760002</v>
      </c>
      <c r="T11" s="9">
        <f>X11*'PAG100 FE GE'!$D$2+Y11*'PAG100 FE GE'!$D$3+Z11*'PAG100 FE GE'!$D$4</f>
        <v>2789.2019054400002</v>
      </c>
      <c r="U11" s="9">
        <f>X11*'PAG20 FE GE'!$D$2+Y11*'PAG20 FE GE'!$D$3+Z11*'PAG20 FE GE'!$D$4</f>
        <v>3333.8129208000005</v>
      </c>
      <c r="V11" s="9">
        <f>X11*'PAG100 FE GE'!$C$2+Y11*'PAG100 FE GE'!$C$3+Z11*'PAG100 FE GE'!$C$4</f>
        <v>2806.8970920000002</v>
      </c>
      <c r="W11" s="9">
        <f>X11*'PAG20 FE GE'!$C$2+Y11*'PAG20 FE GE'!$C$3+Z11*'PAG20 FE GE'!$C$4</f>
        <v>3244.4589825600005</v>
      </c>
      <c r="X11" s="9">
        <f t="shared" ref="X11:Z11" si="3">O11*$H11</f>
        <v>2148.1116000000002</v>
      </c>
      <c r="Y11" s="9">
        <f t="shared" si="3"/>
        <v>9.5792644800000026</v>
      </c>
      <c r="Z11" s="9">
        <f t="shared" si="3"/>
        <v>1.40706</v>
      </c>
      <c r="AA11" s="9">
        <f>AG11*'PAG100 FE GE'!$E$2+AH11*'PAG100 FE GE'!$E$3+AI11*'PAG100 FE GE'!$E$4</f>
        <v>1988.91</v>
      </c>
      <c r="AB11" s="9">
        <f>AG11*'PAG20 FE GE'!$E$2+AH11*'PAG20 FE GE'!$E$3+AI11*'PAG20 FE GE'!$E$4</f>
        <v>2351.35</v>
      </c>
      <c r="AC11" s="9">
        <f>AG11*'PAG100 FE GE'!$D$2+AH11*'PAG100 FE GE'!$D$3+AI11*'PAG100 FE GE'!$D$4</f>
        <v>1981.5900000000001</v>
      </c>
      <c r="AD11" s="9">
        <f>AG11*'PAG20 FE GE'!$D$2+AH11*'PAG20 FE GE'!$D$3+AI11*'PAG20 FE GE'!$D$4</f>
        <v>2368.19</v>
      </c>
      <c r="AE11" s="9">
        <f>AG11*'PAG100 FE GE'!$C$2+AH11*'PAG100 FE GE'!$C$3+AI11*'PAG100 FE GE'!$C$4</f>
        <v>1994.19</v>
      </c>
      <c r="AF11" s="9">
        <f>AG11*'PAG20 FE GE'!$C$2+AH11*'PAG20 FE GE'!$C$3+AI11*'PAG20 FE GE'!$C$4</f>
        <v>2304.79</v>
      </c>
      <c r="AG11" s="6">
        <v>1526.19</v>
      </c>
      <c r="AH11" s="6">
        <v>6.8</v>
      </c>
      <c r="AI11" s="6">
        <v>1</v>
      </c>
      <c r="AJ11" s="11">
        <f>AG11/X11*100</f>
        <v>71.047984657780347</v>
      </c>
      <c r="AK11" t="s">
        <v>424</v>
      </c>
      <c r="AL11" t="s">
        <v>791</v>
      </c>
    </row>
    <row r="12" spans="1:38" ht="15.75" thickBot="1" x14ac:dyDescent="0.3">
      <c r="A12" s="4" t="s">
        <v>2</v>
      </c>
      <c r="B12" s="7" t="s">
        <v>13</v>
      </c>
      <c r="C12" s="5" t="s">
        <v>92</v>
      </c>
      <c r="D12" s="6" t="s">
        <v>9</v>
      </c>
      <c r="E12" s="6" t="str">
        <f t="shared" si="1"/>
        <v>Pesado de Passageiros M3: I : GNC : E2</v>
      </c>
      <c r="F12" s="6" t="s">
        <v>56</v>
      </c>
      <c r="G12" s="6" t="s">
        <v>96</v>
      </c>
      <c r="H12" s="9">
        <f>IF(G12="MJ",INDEX(Tabela1[Energia (MJ/Qtd.)],MATCH(C12,Tabela1[Fuel],0)),IF(G12="GJ",INDEX(Tabela1[Energia (GJ/Qtd.)2],MATCH(C12,Tabela1[Fuel],0)),"XXX"))</f>
        <v>3.7521600000000002E-2</v>
      </c>
      <c r="I12" s="17">
        <f>O12*'PAG100 FE GE'!$E$2+P12*'PAG100 FE GE'!$E$3+Q12*'PAG100 FE GE'!$E$4</f>
        <v>-301.89999999999998</v>
      </c>
      <c r="J12" s="17">
        <f>O12*'PAG20 FE GE'!$E$2+P12*'PAG20 FE GE'!$E$3+Q12*'PAG20 FE GE'!$E$4</f>
        <v>-355.2</v>
      </c>
      <c r="K12" s="17">
        <f>O12*'PAG100 FE GE'!$D$2+P12*'PAG100 FE GE'!$D$3+Q12*'PAG100 FE GE'!$D$4</f>
        <v>-294</v>
      </c>
      <c r="L12" s="17">
        <f>O12*'PAG20 FE GE'!$D$2+P12*'PAG20 FE GE'!$D$3+Q12*'PAG20 FE GE'!$D$4</f>
        <v>-350</v>
      </c>
      <c r="M12" s="17">
        <f>O12*'PAG100 FE GE'!$C$2+P12*'PAG100 FE GE'!$C$3+Q12*'PAG100 FE GE'!$C$4</f>
        <v>-324</v>
      </c>
      <c r="N12" s="17">
        <f>O12*'PAG20 FE GE'!$C$2+P12*'PAG20 FE GE'!$C$3+Q12*'PAG20 FE GE'!$C$4</f>
        <v>-362</v>
      </c>
      <c r="O12" s="17">
        <v>-1</v>
      </c>
      <c r="P12" s="17">
        <v>-1</v>
      </c>
      <c r="Q12" s="17">
        <v>-1</v>
      </c>
      <c r="R12" s="17">
        <f>X12*'PAG100 FE GE'!$E$2+Y12*'PAG100 FE GE'!$E$3+Z12*'PAG100 FE GE'!$E$4</f>
        <v>-301.89999999999998</v>
      </c>
      <c r="S12" s="17">
        <f>X12*'PAG20 FE GE'!$E$2+Y12*'PAG20 FE GE'!$E$3+Z12*'PAG20 FE GE'!$E$4</f>
        <v>-355.2</v>
      </c>
      <c r="T12" s="17">
        <f>X12*'PAG100 FE GE'!$D$2+Y12*'PAG100 FE GE'!$D$3+Z12*'PAG100 FE GE'!$D$4</f>
        <v>-294</v>
      </c>
      <c r="U12" s="17">
        <f>X12*'PAG20 FE GE'!$D$2+Y12*'PAG20 FE GE'!$D$3+Z12*'PAG20 FE GE'!$D$4</f>
        <v>-350</v>
      </c>
      <c r="V12" s="17">
        <f>X12*'PAG100 FE GE'!$C$2+Y12*'PAG100 FE GE'!$C$3+Z12*'PAG100 FE GE'!$C$4</f>
        <v>-324</v>
      </c>
      <c r="W12" s="17">
        <f>X12*'PAG20 FE GE'!$C$2+Y12*'PAG20 FE GE'!$C$3+Z12*'PAG20 FE GE'!$C$4</f>
        <v>-362</v>
      </c>
      <c r="X12" s="17">
        <v>-1</v>
      </c>
      <c r="Y12" s="17">
        <v>-1</v>
      </c>
      <c r="Z12" s="17">
        <v>-1</v>
      </c>
      <c r="AA12" s="17">
        <f>AG12*'PAG100 FE GE'!$E$2+AH12*'PAG100 FE GE'!$E$3+AI12*'PAG100 FE GE'!$E$4</f>
        <v>-301.89999999999998</v>
      </c>
      <c r="AB12" s="17">
        <f>AG12*'PAG20 FE GE'!$E$2+AH12*'PAG20 FE GE'!$E$3+AI12*'PAG20 FE GE'!$E$4</f>
        <v>-355.2</v>
      </c>
      <c r="AC12" s="17">
        <f>AG12*'PAG100 FE GE'!$D$2+AH12*'PAG100 FE GE'!$D$3+AI12*'PAG100 FE GE'!$D$4</f>
        <v>-294</v>
      </c>
      <c r="AD12" s="17">
        <f>AG12*'PAG20 FE GE'!$D$2+AH12*'PAG20 FE GE'!$D$3+AI12*'PAG20 FE GE'!$D$4</f>
        <v>-350</v>
      </c>
      <c r="AE12" s="17">
        <f>AG12*'PAG100 FE GE'!$C$2+AH12*'PAG100 FE GE'!$C$3+AI12*'PAG100 FE GE'!$C$4</f>
        <v>-324</v>
      </c>
      <c r="AF12" s="17">
        <f>AG12*'PAG20 FE GE'!$C$2+AH12*'PAG20 FE GE'!$C$3+AI12*'PAG20 FE GE'!$C$4</f>
        <v>-362</v>
      </c>
      <c r="AG12" s="17">
        <v>-1</v>
      </c>
      <c r="AH12" s="17">
        <v>-1</v>
      </c>
      <c r="AI12" s="17">
        <v>-1</v>
      </c>
      <c r="AJ12" s="27">
        <v>-1</v>
      </c>
      <c r="AK12" t="s">
        <v>424</v>
      </c>
      <c r="AL12" t="s">
        <v>791</v>
      </c>
    </row>
    <row r="13" spans="1:38" ht="15.75" thickBot="1" x14ac:dyDescent="0.3">
      <c r="A13" s="4" t="s">
        <v>2</v>
      </c>
      <c r="B13" s="7" t="s">
        <v>13</v>
      </c>
      <c r="C13" s="5" t="s">
        <v>92</v>
      </c>
      <c r="D13" s="6" t="s">
        <v>10</v>
      </c>
      <c r="E13" s="6" t="str">
        <f t="shared" si="1"/>
        <v>Pesado de Passageiros M3: I : GNC : E3</v>
      </c>
      <c r="F13" s="6" t="s">
        <v>56</v>
      </c>
      <c r="G13" s="6" t="s">
        <v>96</v>
      </c>
      <c r="H13" s="9">
        <f>IF(G13="MJ",INDEX(Tabela1[Energia (MJ/Qtd.)],MATCH(C13,Tabela1[Fuel],0)),IF(G13="GJ",INDEX(Tabela1[Energia (GJ/Qtd.)2],MATCH(C13,Tabela1[Fuel],0)),"XXX"))</f>
        <v>3.7521600000000002E-2</v>
      </c>
      <c r="I13" s="9">
        <f>O13*'PAG100 FE GE'!$E$2+P13*'PAG100 FE GE'!$E$3+Q13*'PAG100 FE GE'!$E$4</f>
        <v>71408.34</v>
      </c>
      <c r="J13" s="9">
        <f>O13*'PAG20 FE GE'!$E$2+P13*'PAG20 FE GE'!$E$3+Q13*'PAG20 FE GE'!$E$4</f>
        <v>74531.72</v>
      </c>
      <c r="K13" s="9">
        <f>O13*'PAG100 FE GE'!$D$2+P13*'PAG100 FE GE'!$D$3+Q13*'PAG100 FE GE'!$D$4</f>
        <v>71047.8</v>
      </c>
      <c r="L13" s="9">
        <f>O13*'PAG20 FE GE'!$D$2+P13*'PAG20 FE GE'!$D$3+Q13*'PAG20 FE GE'!$D$4</f>
        <v>74342.2</v>
      </c>
      <c r="M13" s="9">
        <f>O13*'PAG100 FE GE'!$C$2+P13*'PAG100 FE GE'!$C$3+Q13*'PAG100 FE GE'!$C$4</f>
        <v>72383.399999999994</v>
      </c>
      <c r="N13" s="9">
        <f>O13*'PAG20 FE GE'!$C$2+P13*'PAG20 FE GE'!$C$3+Q13*'PAG20 FE GE'!$C$4</f>
        <v>74725.399999999994</v>
      </c>
      <c r="O13" s="9">
        <f>57.27*1000</f>
        <v>57270</v>
      </c>
      <c r="P13" s="9">
        <f>0.0586*1000</f>
        <v>58.6</v>
      </c>
      <c r="Q13" s="9">
        <f>0.0458*1000</f>
        <v>45.8</v>
      </c>
      <c r="R13" s="9">
        <f>X13*'PAG100 FE GE'!$E$2+Y13*'PAG100 FE GE'!$E$3+Z13*'PAG100 FE GE'!$E$4</f>
        <v>2679.3551701440001</v>
      </c>
      <c r="S13" s="9">
        <f>X13*'PAG20 FE GE'!$E$2+Y13*'PAG20 FE GE'!$E$3+Z13*'PAG20 FE GE'!$E$4</f>
        <v>2796.549385152</v>
      </c>
      <c r="T13" s="9">
        <f>X13*'PAG100 FE GE'!$D$2+Y13*'PAG100 FE GE'!$D$3+Z13*'PAG100 FE GE'!$D$4</f>
        <v>2665.8271324799998</v>
      </c>
      <c r="U13" s="9">
        <f>X13*'PAG20 FE GE'!$D$2+Y13*'PAG20 FE GE'!$D$3+Z13*'PAG20 FE GE'!$D$4</f>
        <v>2789.4382915200003</v>
      </c>
      <c r="V13" s="9">
        <f>X13*'PAG100 FE GE'!$C$2+Y13*'PAG100 FE GE'!$C$3+Z13*'PAG100 FE GE'!$C$4</f>
        <v>2715.9409814400001</v>
      </c>
      <c r="W13" s="9">
        <f>X13*'PAG20 FE GE'!$C$2+Y13*'PAG20 FE GE'!$C$3+Z13*'PAG20 FE GE'!$C$4</f>
        <v>2803.8165686400002</v>
      </c>
      <c r="X13" s="9">
        <f t="shared" ref="X13:Z13" si="4">O13*$H13</f>
        <v>2148.862032</v>
      </c>
      <c r="Y13" s="9">
        <f t="shared" si="4"/>
        <v>2.1987657600000001</v>
      </c>
      <c r="Z13" s="9">
        <f t="shared" si="4"/>
        <v>1.71848928</v>
      </c>
      <c r="AA13" s="9">
        <f>AG13*'PAG100 FE GE'!$E$2+AH13*'PAG100 FE GE'!$E$3+AI13*'PAG100 FE GE'!$E$4</f>
        <v>1559.5719999999999</v>
      </c>
      <c r="AB13" s="9">
        <f>AG13*'PAG20 FE GE'!$E$2+AH13*'PAG20 FE GE'!$E$3+AI13*'PAG20 FE GE'!$E$4</f>
        <v>1627.7959999999998</v>
      </c>
      <c r="AC13" s="9">
        <f>AG13*'PAG100 FE GE'!$D$2+AH13*'PAG100 FE GE'!$D$3+AI13*'PAG100 FE GE'!$D$4</f>
        <v>1551.6999999999998</v>
      </c>
      <c r="AD13" s="9">
        <f>AG13*'PAG20 FE GE'!$D$2+AH13*'PAG20 FE GE'!$D$3+AI13*'PAG20 FE GE'!$D$4</f>
        <v>1623.6599999999999</v>
      </c>
      <c r="AE13" s="9">
        <f>AG13*'PAG100 FE GE'!$C$2+AH13*'PAG100 FE GE'!$C$3+AI13*'PAG100 FE GE'!$C$4</f>
        <v>1580.86</v>
      </c>
      <c r="AF13" s="9">
        <f>AG13*'PAG20 FE GE'!$C$2+AH13*'PAG20 FE GE'!$C$3+AI13*'PAG20 FE GE'!$C$4</f>
        <v>1632.02</v>
      </c>
      <c r="AG13" s="6">
        <v>1250.8599999999999</v>
      </c>
      <c r="AH13" s="6">
        <v>1.28</v>
      </c>
      <c r="AI13" s="6">
        <v>1</v>
      </c>
      <c r="AJ13" s="11">
        <f>AG13/X13*100</f>
        <v>58.21034488825665</v>
      </c>
      <c r="AK13" t="s">
        <v>424</v>
      </c>
      <c r="AL13" t="s">
        <v>791</v>
      </c>
    </row>
    <row r="14" spans="1:38" ht="15.75" thickBot="1" x14ac:dyDescent="0.3">
      <c r="A14" s="4" t="s">
        <v>2</v>
      </c>
      <c r="B14" s="7" t="s">
        <v>13</v>
      </c>
      <c r="C14" s="5" t="s">
        <v>92</v>
      </c>
      <c r="D14" s="6" t="s">
        <v>4</v>
      </c>
      <c r="E14" s="6" t="str">
        <f t="shared" si="1"/>
        <v>Pesado de Passageiros M3: I : GNC : E4</v>
      </c>
      <c r="F14" s="6" t="s">
        <v>56</v>
      </c>
      <c r="G14" s="6" t="s">
        <v>96</v>
      </c>
      <c r="H14" s="9">
        <f>IF(G14="MJ",INDEX(Tabela1[Energia (MJ/Qtd.)],MATCH(C14,Tabela1[Fuel],0)),IF(G14="GJ",INDEX(Tabela1[Energia (GJ/Qtd.)2],MATCH(C14,Tabela1[Fuel],0)),"XXX"))</f>
        <v>3.7521600000000002E-2</v>
      </c>
      <c r="I14" s="17">
        <f>O14*'PAG100 FE GE'!$E$2+P14*'PAG100 FE GE'!$E$3+Q14*'PAG100 FE GE'!$E$4</f>
        <v>-301.89999999999998</v>
      </c>
      <c r="J14" s="17">
        <f>O14*'PAG20 FE GE'!$E$2+P14*'PAG20 FE GE'!$E$3+Q14*'PAG20 FE GE'!$E$4</f>
        <v>-355.2</v>
      </c>
      <c r="K14" s="17">
        <f>O14*'PAG100 FE GE'!$D$2+P14*'PAG100 FE GE'!$D$3+Q14*'PAG100 FE GE'!$D$4</f>
        <v>-294</v>
      </c>
      <c r="L14" s="17">
        <f>O14*'PAG20 FE GE'!$D$2+P14*'PAG20 FE GE'!$D$3+Q14*'PAG20 FE GE'!$D$4</f>
        <v>-350</v>
      </c>
      <c r="M14" s="17">
        <f>O14*'PAG100 FE GE'!$C$2+P14*'PAG100 FE GE'!$C$3+Q14*'PAG100 FE GE'!$C$4</f>
        <v>-324</v>
      </c>
      <c r="N14" s="17">
        <f>O14*'PAG20 FE GE'!$C$2+P14*'PAG20 FE GE'!$C$3+Q14*'PAG20 FE GE'!$C$4</f>
        <v>-362</v>
      </c>
      <c r="O14" s="17">
        <v>-1</v>
      </c>
      <c r="P14" s="17">
        <v>-1</v>
      </c>
      <c r="Q14" s="17">
        <v>-1</v>
      </c>
      <c r="R14" s="17">
        <f>X14*'PAG100 FE GE'!$E$2+Y14*'PAG100 FE GE'!$E$3+Z14*'PAG100 FE GE'!$E$4</f>
        <v>-301.89999999999998</v>
      </c>
      <c r="S14" s="17">
        <f>X14*'PAG20 FE GE'!$E$2+Y14*'PAG20 FE GE'!$E$3+Z14*'PAG20 FE GE'!$E$4</f>
        <v>-355.2</v>
      </c>
      <c r="T14" s="17">
        <f>X14*'PAG100 FE GE'!$D$2+Y14*'PAG100 FE GE'!$D$3+Z14*'PAG100 FE GE'!$D$4</f>
        <v>-294</v>
      </c>
      <c r="U14" s="17">
        <f>X14*'PAG20 FE GE'!$D$2+Y14*'PAG20 FE GE'!$D$3+Z14*'PAG20 FE GE'!$D$4</f>
        <v>-350</v>
      </c>
      <c r="V14" s="17">
        <f>X14*'PAG100 FE GE'!$C$2+Y14*'PAG100 FE GE'!$C$3+Z14*'PAG100 FE GE'!$C$4</f>
        <v>-324</v>
      </c>
      <c r="W14" s="17">
        <f>X14*'PAG20 FE GE'!$C$2+Y14*'PAG20 FE GE'!$C$3+Z14*'PAG20 FE GE'!$C$4</f>
        <v>-362</v>
      </c>
      <c r="X14" s="17">
        <v>-1</v>
      </c>
      <c r="Y14" s="17">
        <v>-1</v>
      </c>
      <c r="Z14" s="17">
        <v>-1</v>
      </c>
      <c r="AA14" s="17">
        <f>AG14*'PAG100 FE GE'!$E$2+AH14*'PAG100 FE GE'!$E$3+AI14*'PAG100 FE GE'!$E$4</f>
        <v>-301.89999999999998</v>
      </c>
      <c r="AB14" s="17">
        <f>AG14*'PAG20 FE GE'!$E$2+AH14*'PAG20 FE GE'!$E$3+AI14*'PAG20 FE GE'!$E$4</f>
        <v>-355.2</v>
      </c>
      <c r="AC14" s="17">
        <f>AG14*'PAG100 FE GE'!$D$2+AH14*'PAG100 FE GE'!$D$3+AI14*'PAG100 FE GE'!$D$4</f>
        <v>-294</v>
      </c>
      <c r="AD14" s="17">
        <f>AG14*'PAG20 FE GE'!$D$2+AH14*'PAG20 FE GE'!$D$3+AI14*'PAG20 FE GE'!$D$4</f>
        <v>-350</v>
      </c>
      <c r="AE14" s="17">
        <f>AG14*'PAG100 FE GE'!$C$2+AH14*'PAG100 FE GE'!$C$3+AI14*'PAG100 FE GE'!$C$4</f>
        <v>-324</v>
      </c>
      <c r="AF14" s="17">
        <f>AG14*'PAG20 FE GE'!$C$2+AH14*'PAG20 FE GE'!$C$3+AI14*'PAG20 FE GE'!$C$4</f>
        <v>-362</v>
      </c>
      <c r="AG14" s="17">
        <v>-1</v>
      </c>
      <c r="AH14" s="17">
        <v>-1</v>
      </c>
      <c r="AI14" s="17">
        <v>-1</v>
      </c>
      <c r="AJ14" s="27">
        <v>-1</v>
      </c>
      <c r="AK14" t="s">
        <v>424</v>
      </c>
      <c r="AL14" t="s">
        <v>791</v>
      </c>
    </row>
    <row r="15" spans="1:38" ht="15.75" thickBot="1" x14ac:dyDescent="0.3">
      <c r="A15" s="4" t="s">
        <v>2</v>
      </c>
      <c r="B15" s="7" t="s">
        <v>13</v>
      </c>
      <c r="C15" s="5" t="s">
        <v>92</v>
      </c>
      <c r="D15" s="6" t="s">
        <v>5</v>
      </c>
      <c r="E15" s="6" t="str">
        <f t="shared" si="1"/>
        <v>Pesado de Passageiros M3: I : GNC : E5</v>
      </c>
      <c r="F15" s="6" t="s">
        <v>56</v>
      </c>
      <c r="G15" s="6" t="s">
        <v>96</v>
      </c>
      <c r="H15" s="9">
        <f>IF(G15="MJ",INDEX(Tabela1[Energia (MJ/Qtd.)],MATCH(C15,Tabela1[Fuel],0)),IF(G15="GJ",INDEX(Tabela1[Energia (GJ/Qtd.)2],MATCH(C15,Tabela1[Fuel],0)),"XXX"))</f>
        <v>3.7521600000000002E-2</v>
      </c>
      <c r="I15" s="9">
        <f>O15*'PAG100 FE GE'!$E$2+P15*'PAG100 FE GE'!$E$3+Q15*'PAG100 FE GE'!$E$4</f>
        <v>65053.23</v>
      </c>
      <c r="J15" s="9">
        <f>O15*'PAG20 FE GE'!$E$2+P15*'PAG20 FE GE'!$E$3+Q15*'PAG20 FE GE'!$E$4</f>
        <v>67275.839999999997</v>
      </c>
      <c r="K15" s="9">
        <f>O15*'PAG100 FE GE'!$D$2+P15*'PAG100 FE GE'!$D$3+Q15*'PAG100 FE GE'!$D$4</f>
        <v>64716.6</v>
      </c>
      <c r="L15" s="9">
        <f>O15*'PAG20 FE GE'!$D$2+P15*'PAG20 FE GE'!$D$3+Q15*'PAG20 FE GE'!$D$4</f>
        <v>67050.899999999994</v>
      </c>
      <c r="M15" s="9">
        <f>O15*'PAG100 FE GE'!$C$2+P15*'PAG100 FE GE'!$C$3+Q15*'PAG100 FE GE'!$C$4</f>
        <v>65997.3</v>
      </c>
      <c r="N15" s="9">
        <f>O15*'PAG20 FE GE'!$C$2+P15*'PAG20 FE GE'!$C$3+Q15*'PAG20 FE GE'!$C$4</f>
        <v>67573.8</v>
      </c>
      <c r="O15" s="9">
        <f>52.26*1000</f>
        <v>52260</v>
      </c>
      <c r="P15" s="9">
        <f>0.0417*1000</f>
        <v>41.7</v>
      </c>
      <c r="Q15" s="9">
        <f>0.0426*1000</f>
        <v>42.6</v>
      </c>
      <c r="R15" s="9">
        <f>X15*'PAG100 FE GE'!$E$2+Y15*'PAG100 FE GE'!$E$3+Z15*'PAG100 FE GE'!$E$4</f>
        <v>2440.9012747680003</v>
      </c>
      <c r="S15" s="9">
        <f>X15*'PAG20 FE GE'!$E$2+Y15*'PAG20 FE GE'!$E$3+Z15*'PAG20 FE GE'!$E$4</f>
        <v>2524.2971581440002</v>
      </c>
      <c r="T15" s="9">
        <f>X15*'PAG100 FE GE'!$D$2+Y15*'PAG100 FE GE'!$D$3+Z15*'PAG100 FE GE'!$D$4</f>
        <v>2428.2703785600002</v>
      </c>
      <c r="U15" s="9">
        <f>X15*'PAG20 FE GE'!$D$2+Y15*'PAG20 FE GE'!$D$3+Z15*'PAG20 FE GE'!$D$4</f>
        <v>2515.8570494400001</v>
      </c>
      <c r="V15" s="9">
        <f>X15*'PAG100 FE GE'!$C$2+Y15*'PAG100 FE GE'!$C$3+Z15*'PAG100 FE GE'!$C$4</f>
        <v>2476.32429168</v>
      </c>
      <c r="W15" s="9">
        <f>X15*'PAG20 FE GE'!$C$2+Y15*'PAG20 FE GE'!$C$3+Z15*'PAG20 FE GE'!$C$4</f>
        <v>2535.4770940800004</v>
      </c>
      <c r="X15" s="9">
        <f t="shared" ref="X15:Z15" si="5">O15*$H15</f>
        <v>1960.8788160000001</v>
      </c>
      <c r="Y15" s="9">
        <f t="shared" si="5"/>
        <v>1.5646507200000002</v>
      </c>
      <c r="Z15" s="9">
        <f t="shared" si="5"/>
        <v>1.5984201600000001</v>
      </c>
      <c r="AA15" s="9">
        <f>AG15*'PAG100 FE GE'!$E$2+AH15*'PAG100 FE GE'!$E$3+AI15*'PAG100 FE GE'!$E$4</f>
        <v>1644.702</v>
      </c>
      <c r="AB15" s="9">
        <f>AG15*'PAG20 FE GE'!$E$2+AH15*'PAG20 FE GE'!$E$3+AI15*'PAG20 FE GE'!$E$4</f>
        <v>1696.9359999999999</v>
      </c>
      <c r="AC15" s="9">
        <f>AG15*'PAG100 FE GE'!$D$2+AH15*'PAG100 FE GE'!$D$3+AI15*'PAG100 FE GE'!$D$4</f>
        <v>1636.8</v>
      </c>
      <c r="AD15" s="9">
        <f>AG15*'PAG20 FE GE'!$D$2+AH15*'PAG20 FE GE'!$D$3+AI15*'PAG20 FE GE'!$D$4</f>
        <v>1691.6599999999999</v>
      </c>
      <c r="AE15" s="9">
        <f>AG15*'PAG100 FE GE'!$C$2+AH15*'PAG100 FE GE'!$C$3+AI15*'PAG100 FE GE'!$C$4</f>
        <v>1666.86</v>
      </c>
      <c r="AF15" s="9">
        <f>AG15*'PAG20 FE GE'!$C$2+AH15*'PAG20 FE GE'!$C$3+AI15*'PAG20 FE GE'!$C$4</f>
        <v>1703.9199999999998</v>
      </c>
      <c r="AG15" s="6">
        <v>1344.36</v>
      </c>
      <c r="AH15" s="6">
        <v>0.98</v>
      </c>
      <c r="AI15" s="6">
        <v>1</v>
      </c>
      <c r="AJ15" s="11">
        <f>AG15/X15*100</f>
        <v>68.559055716781216</v>
      </c>
      <c r="AK15" t="s">
        <v>424</v>
      </c>
      <c r="AL15" t="s">
        <v>791</v>
      </c>
    </row>
    <row r="16" spans="1:38" ht="15.75" thickBot="1" x14ac:dyDescent="0.3">
      <c r="A16" s="4" t="s">
        <v>2</v>
      </c>
      <c r="B16" s="7" t="s">
        <v>13</v>
      </c>
      <c r="C16" s="5" t="s">
        <v>92</v>
      </c>
      <c r="D16" s="6" t="s">
        <v>6</v>
      </c>
      <c r="E16" s="6" t="str">
        <f t="shared" si="1"/>
        <v>Pesado de Passageiros M3: I : GNC : E6</v>
      </c>
      <c r="F16" s="6" t="s">
        <v>56</v>
      </c>
      <c r="G16" s="6" t="s">
        <v>96</v>
      </c>
      <c r="H16" s="9">
        <f>IF(G16="MJ",INDEX(Tabela1[Energia (MJ/Qtd.)],MATCH(C16,Tabela1[Fuel],0)),IF(G16="GJ",INDEX(Tabela1[Energia (GJ/Qtd.)2],MATCH(C16,Tabela1[Fuel],0)),"XXX"))</f>
        <v>3.7521600000000002E-2</v>
      </c>
      <c r="I16" s="17">
        <f>O16*'PAG100 FE GE'!$E$2+P16*'PAG100 FE GE'!$E$3+Q16*'PAG100 FE GE'!$E$4</f>
        <v>-301.89999999999998</v>
      </c>
      <c r="J16" s="17">
        <f>O16*'PAG20 FE GE'!$E$2+P16*'PAG20 FE GE'!$E$3+Q16*'PAG20 FE GE'!$E$4</f>
        <v>-355.2</v>
      </c>
      <c r="K16" s="17">
        <f>O16*'PAG100 FE GE'!$D$2+P16*'PAG100 FE GE'!$D$3+Q16*'PAG100 FE GE'!$D$4</f>
        <v>-294</v>
      </c>
      <c r="L16" s="17">
        <f>O16*'PAG20 FE GE'!$D$2+P16*'PAG20 FE GE'!$D$3+Q16*'PAG20 FE GE'!$D$4</f>
        <v>-350</v>
      </c>
      <c r="M16" s="17">
        <f>O16*'PAG100 FE GE'!$C$2+P16*'PAG100 FE GE'!$C$3+Q16*'PAG100 FE GE'!$C$4</f>
        <v>-324</v>
      </c>
      <c r="N16" s="17">
        <f>O16*'PAG20 FE GE'!$C$2+P16*'PAG20 FE GE'!$C$3+Q16*'PAG20 FE GE'!$C$4</f>
        <v>-362</v>
      </c>
      <c r="O16" s="17">
        <v>-1</v>
      </c>
      <c r="P16" s="17">
        <v>-1</v>
      </c>
      <c r="Q16" s="17">
        <v>-1</v>
      </c>
      <c r="R16" s="17">
        <f>X16*'PAG100 FE GE'!$E$2+Y16*'PAG100 FE GE'!$E$3+Z16*'PAG100 FE GE'!$E$4</f>
        <v>-301.89999999999998</v>
      </c>
      <c r="S16" s="17">
        <f>X16*'PAG20 FE GE'!$E$2+Y16*'PAG20 FE GE'!$E$3+Z16*'PAG20 FE GE'!$E$4</f>
        <v>-355.2</v>
      </c>
      <c r="T16" s="17">
        <f>X16*'PAG100 FE GE'!$D$2+Y16*'PAG100 FE GE'!$D$3+Z16*'PAG100 FE GE'!$D$4</f>
        <v>-294</v>
      </c>
      <c r="U16" s="17">
        <f>X16*'PAG20 FE GE'!$D$2+Y16*'PAG20 FE GE'!$D$3+Z16*'PAG20 FE GE'!$D$4</f>
        <v>-350</v>
      </c>
      <c r="V16" s="17">
        <f>X16*'PAG100 FE GE'!$C$2+Y16*'PAG100 FE GE'!$C$3+Z16*'PAG100 FE GE'!$C$4</f>
        <v>-324</v>
      </c>
      <c r="W16" s="17">
        <f>X16*'PAG20 FE GE'!$C$2+Y16*'PAG20 FE GE'!$C$3+Z16*'PAG20 FE GE'!$C$4</f>
        <v>-362</v>
      </c>
      <c r="X16" s="17">
        <v>-1</v>
      </c>
      <c r="Y16" s="17">
        <v>-1</v>
      </c>
      <c r="Z16" s="17">
        <v>-1</v>
      </c>
      <c r="AA16" s="17">
        <f>AG16*'PAG100 FE GE'!$E$2+AH16*'PAG100 FE GE'!$E$3+AI16*'PAG100 FE GE'!$E$4</f>
        <v>-301.89999999999998</v>
      </c>
      <c r="AB16" s="17">
        <f>AG16*'PAG20 FE GE'!$E$2+AH16*'PAG20 FE GE'!$E$3+AI16*'PAG20 FE GE'!$E$4</f>
        <v>-355.2</v>
      </c>
      <c r="AC16" s="17">
        <f>AG16*'PAG100 FE GE'!$D$2+AH16*'PAG100 FE GE'!$D$3+AI16*'PAG100 FE GE'!$D$4</f>
        <v>-294</v>
      </c>
      <c r="AD16" s="17">
        <f>AG16*'PAG20 FE GE'!$D$2+AH16*'PAG20 FE GE'!$D$3+AI16*'PAG20 FE GE'!$D$4</f>
        <v>-350</v>
      </c>
      <c r="AE16" s="17">
        <f>AG16*'PAG100 FE GE'!$C$2+AH16*'PAG100 FE GE'!$C$3+AI16*'PAG100 FE GE'!$C$4</f>
        <v>-324</v>
      </c>
      <c r="AF16" s="17">
        <f>AG16*'PAG20 FE GE'!$C$2+AH16*'PAG20 FE GE'!$C$3+AI16*'PAG20 FE GE'!$C$4</f>
        <v>-362</v>
      </c>
      <c r="AG16" s="17">
        <v>-1</v>
      </c>
      <c r="AH16" s="17">
        <v>-1</v>
      </c>
      <c r="AI16" s="17">
        <v>-1</v>
      </c>
      <c r="AJ16" s="27">
        <v>-1</v>
      </c>
      <c r="AK16" t="s">
        <v>424</v>
      </c>
      <c r="AL16" t="s">
        <v>791</v>
      </c>
    </row>
    <row r="17" spans="1:38" ht="15.75" thickBot="1" x14ac:dyDescent="0.3">
      <c r="A17" s="4" t="s">
        <v>2</v>
      </c>
      <c r="B17" s="7" t="s">
        <v>13</v>
      </c>
      <c r="C17" s="5" t="s">
        <v>92</v>
      </c>
      <c r="D17" s="6" t="s">
        <v>81</v>
      </c>
      <c r="E17" s="6" t="str">
        <f t="shared" si="1"/>
        <v>Pesado de Passageiros M3: I : GNC : E6 D/E E7</v>
      </c>
      <c r="F17" s="6" t="s">
        <v>56</v>
      </c>
      <c r="G17" s="6" t="s">
        <v>96</v>
      </c>
      <c r="H17" s="9">
        <f>IF(G17="MJ",INDEX(Tabela1[Energia (MJ/Qtd.)],MATCH(C17,Tabela1[Fuel],0)),IF(G17="GJ",INDEX(Tabela1[Energia (GJ/Qtd.)2],MATCH(C17,Tabela1[Fuel],0)),"XXX"))</f>
        <v>3.7521600000000002E-2</v>
      </c>
      <c r="I17" s="17">
        <f>O17*'PAG100 FE GE'!$E$2+P17*'PAG100 FE GE'!$E$3+Q17*'PAG100 FE GE'!$E$4</f>
        <v>-301.89999999999998</v>
      </c>
      <c r="J17" s="17">
        <f>O17*'PAG20 FE GE'!$E$2+P17*'PAG20 FE GE'!$E$3+Q17*'PAG20 FE GE'!$E$4</f>
        <v>-355.2</v>
      </c>
      <c r="K17" s="17">
        <f>O17*'PAG100 FE GE'!$D$2+P17*'PAG100 FE GE'!$D$3+Q17*'PAG100 FE GE'!$D$4</f>
        <v>-294</v>
      </c>
      <c r="L17" s="17">
        <f>O17*'PAG20 FE GE'!$D$2+P17*'PAG20 FE GE'!$D$3+Q17*'PAG20 FE GE'!$D$4</f>
        <v>-350</v>
      </c>
      <c r="M17" s="17">
        <f>O17*'PAG100 FE GE'!$C$2+P17*'PAG100 FE GE'!$C$3+Q17*'PAG100 FE GE'!$C$4</f>
        <v>-324</v>
      </c>
      <c r="N17" s="17">
        <f>O17*'PAG20 FE GE'!$C$2+P17*'PAG20 FE GE'!$C$3+Q17*'PAG20 FE GE'!$C$4</f>
        <v>-362</v>
      </c>
      <c r="O17" s="17">
        <v>-1</v>
      </c>
      <c r="P17" s="17">
        <v>-1</v>
      </c>
      <c r="Q17" s="17">
        <v>-1</v>
      </c>
      <c r="R17" s="17">
        <f>X17*'PAG100 FE GE'!$E$2+Y17*'PAG100 FE GE'!$E$3+Z17*'PAG100 FE GE'!$E$4</f>
        <v>-301.89999999999998</v>
      </c>
      <c r="S17" s="17">
        <f>X17*'PAG20 FE GE'!$E$2+Y17*'PAG20 FE GE'!$E$3+Z17*'PAG20 FE GE'!$E$4</f>
        <v>-355.2</v>
      </c>
      <c r="T17" s="17">
        <f>X17*'PAG100 FE GE'!$D$2+Y17*'PAG100 FE GE'!$D$3+Z17*'PAG100 FE GE'!$D$4</f>
        <v>-294</v>
      </c>
      <c r="U17" s="17">
        <f>X17*'PAG20 FE GE'!$D$2+Y17*'PAG20 FE GE'!$D$3+Z17*'PAG20 FE GE'!$D$4</f>
        <v>-350</v>
      </c>
      <c r="V17" s="17">
        <f>X17*'PAG100 FE GE'!$C$2+Y17*'PAG100 FE GE'!$C$3+Z17*'PAG100 FE GE'!$C$4</f>
        <v>-324</v>
      </c>
      <c r="W17" s="17">
        <f>X17*'PAG20 FE GE'!$C$2+Y17*'PAG20 FE GE'!$C$3+Z17*'PAG20 FE GE'!$C$4</f>
        <v>-362</v>
      </c>
      <c r="X17" s="17">
        <v>-1</v>
      </c>
      <c r="Y17" s="17">
        <v>-1</v>
      </c>
      <c r="Z17" s="17">
        <v>-1</v>
      </c>
      <c r="AA17" s="17">
        <f>AG17*'PAG100 FE GE'!$E$2+AH17*'PAG100 FE GE'!$E$3+AI17*'PAG100 FE GE'!$E$4</f>
        <v>-301.89999999999998</v>
      </c>
      <c r="AB17" s="17">
        <f>AG17*'PAG20 FE GE'!$E$2+AH17*'PAG20 FE GE'!$E$3+AI17*'PAG20 FE GE'!$E$4</f>
        <v>-355.2</v>
      </c>
      <c r="AC17" s="17">
        <f>AG17*'PAG100 FE GE'!$D$2+AH17*'PAG100 FE GE'!$D$3+AI17*'PAG100 FE GE'!$D$4</f>
        <v>-294</v>
      </c>
      <c r="AD17" s="17">
        <f>AG17*'PAG20 FE GE'!$D$2+AH17*'PAG20 FE GE'!$D$3+AI17*'PAG20 FE GE'!$D$4</f>
        <v>-350</v>
      </c>
      <c r="AE17" s="17">
        <f>AG17*'PAG100 FE GE'!$C$2+AH17*'PAG100 FE GE'!$C$3+AI17*'PAG100 FE GE'!$C$4</f>
        <v>-324</v>
      </c>
      <c r="AF17" s="17">
        <f>AG17*'PAG20 FE GE'!$C$2+AH17*'PAG20 FE GE'!$C$3+AI17*'PAG20 FE GE'!$C$4</f>
        <v>-362</v>
      </c>
      <c r="AG17" s="17">
        <v>-1</v>
      </c>
      <c r="AH17" s="17">
        <v>-1</v>
      </c>
      <c r="AI17" s="17">
        <v>-1</v>
      </c>
      <c r="AJ17" s="27">
        <v>-1</v>
      </c>
      <c r="AK17" t="s">
        <v>424</v>
      </c>
      <c r="AL17" t="s">
        <v>791</v>
      </c>
    </row>
    <row r="18" spans="1:38" ht="15.75" thickBot="1" x14ac:dyDescent="0.3">
      <c r="A18" s="4" t="s">
        <v>2</v>
      </c>
      <c r="B18" s="7" t="s">
        <v>13</v>
      </c>
      <c r="C18" s="5" t="s">
        <v>95</v>
      </c>
      <c r="D18" s="6" t="s">
        <v>8</v>
      </c>
      <c r="E18" s="6" t="str">
        <f t="shared" si="1"/>
        <v>Pesado de Passageiros M3: I : GNL : E0</v>
      </c>
      <c r="F18" s="6" t="s">
        <v>57</v>
      </c>
      <c r="G18" s="6" t="s">
        <v>96</v>
      </c>
      <c r="H18" s="9">
        <f>IF(G18="MJ",INDEX(Tabela1[Energia (MJ/Qtd.)],MATCH(C18,Tabela1[Fuel],0)),IF(G18="GJ",INDEX(Tabela1[Energia (GJ/Qtd.)2],MATCH(C18,Tabela1[Fuel],0)),"XXX"))</f>
        <v>4.8000000000000001E-2</v>
      </c>
      <c r="I18" s="17">
        <f>O18*'PAG100 FE GE'!$E$2+P18*'PAG100 FE GE'!$E$3+Q18*'PAG100 FE GE'!$E$4</f>
        <v>-301.89999999999998</v>
      </c>
      <c r="J18" s="17">
        <f>O18*'PAG20 FE GE'!$E$2+P18*'PAG20 FE GE'!$E$3+Q18*'PAG20 FE GE'!$E$4</f>
        <v>-355.2</v>
      </c>
      <c r="K18" s="17">
        <f>O18*'PAG100 FE GE'!$D$2+P18*'PAG100 FE GE'!$D$3+Q18*'PAG100 FE GE'!$D$4</f>
        <v>-294</v>
      </c>
      <c r="L18" s="17">
        <f>O18*'PAG20 FE GE'!$D$2+P18*'PAG20 FE GE'!$D$3+Q18*'PAG20 FE GE'!$D$4</f>
        <v>-350</v>
      </c>
      <c r="M18" s="17">
        <f>O18*'PAG100 FE GE'!$C$2+P18*'PAG100 FE GE'!$C$3+Q18*'PAG100 FE GE'!$C$4</f>
        <v>-324</v>
      </c>
      <c r="N18" s="17">
        <f>O18*'PAG20 FE GE'!$C$2+P18*'PAG20 FE GE'!$C$3+Q18*'PAG20 FE GE'!$C$4</f>
        <v>-362</v>
      </c>
      <c r="O18" s="17">
        <v>-1</v>
      </c>
      <c r="P18" s="17">
        <v>-1</v>
      </c>
      <c r="Q18" s="17">
        <v>-1</v>
      </c>
      <c r="R18" s="17">
        <f>X18*'PAG100 FE GE'!$E$2+Y18*'PAG100 FE GE'!$E$3+Z18*'PAG100 FE GE'!$E$4</f>
        <v>-301.89999999999998</v>
      </c>
      <c r="S18" s="17">
        <f>X18*'PAG20 FE GE'!$E$2+Y18*'PAG20 FE GE'!$E$3+Z18*'PAG20 FE GE'!$E$4</f>
        <v>-355.2</v>
      </c>
      <c r="T18" s="17">
        <f>X18*'PAG100 FE GE'!$D$2+Y18*'PAG100 FE GE'!$D$3+Z18*'PAG100 FE GE'!$D$4</f>
        <v>-294</v>
      </c>
      <c r="U18" s="17">
        <f>X18*'PAG20 FE GE'!$D$2+Y18*'PAG20 FE GE'!$D$3+Z18*'PAG20 FE GE'!$D$4</f>
        <v>-350</v>
      </c>
      <c r="V18" s="17">
        <f>X18*'PAG100 FE GE'!$C$2+Y18*'PAG100 FE GE'!$C$3+Z18*'PAG100 FE GE'!$C$4</f>
        <v>-324</v>
      </c>
      <c r="W18" s="17">
        <f>X18*'PAG20 FE GE'!$C$2+Y18*'PAG20 FE GE'!$C$3+Z18*'PAG20 FE GE'!$C$4</f>
        <v>-362</v>
      </c>
      <c r="X18" s="17">
        <v>-1</v>
      </c>
      <c r="Y18" s="17">
        <v>-1</v>
      </c>
      <c r="Z18" s="17">
        <v>-1</v>
      </c>
      <c r="AA18" s="17">
        <f>AG18*'PAG100 FE GE'!$E$2+AH18*'PAG100 FE GE'!$E$3+AI18*'PAG100 FE GE'!$E$4</f>
        <v>-301.89999999999998</v>
      </c>
      <c r="AB18" s="17">
        <f>AG18*'PAG20 FE GE'!$E$2+AH18*'PAG20 FE GE'!$E$3+AI18*'PAG20 FE GE'!$E$4</f>
        <v>-355.2</v>
      </c>
      <c r="AC18" s="17">
        <f>AG18*'PAG100 FE GE'!$D$2+AH18*'PAG100 FE GE'!$D$3+AI18*'PAG100 FE GE'!$D$4</f>
        <v>-294</v>
      </c>
      <c r="AD18" s="17">
        <f>AG18*'PAG20 FE GE'!$D$2+AH18*'PAG20 FE GE'!$D$3+AI18*'PAG20 FE GE'!$D$4</f>
        <v>-350</v>
      </c>
      <c r="AE18" s="17">
        <f>AG18*'PAG100 FE GE'!$C$2+AH18*'PAG100 FE GE'!$C$3+AI18*'PAG100 FE GE'!$C$4</f>
        <v>-324</v>
      </c>
      <c r="AF18" s="17">
        <f>AG18*'PAG20 FE GE'!$C$2+AH18*'PAG20 FE GE'!$C$3+AI18*'PAG20 FE GE'!$C$4</f>
        <v>-362</v>
      </c>
      <c r="AG18" s="17">
        <v>-1</v>
      </c>
      <c r="AH18" s="17">
        <v>-1</v>
      </c>
      <c r="AI18" s="17">
        <v>-1</v>
      </c>
      <c r="AJ18" s="27">
        <v>-1</v>
      </c>
      <c r="AK18" t="s">
        <v>424</v>
      </c>
      <c r="AL18" t="s">
        <v>791</v>
      </c>
    </row>
    <row r="19" spans="1:38" ht="15.75" thickBot="1" x14ac:dyDescent="0.3">
      <c r="A19" s="4" t="s">
        <v>2</v>
      </c>
      <c r="B19" s="7" t="s">
        <v>13</v>
      </c>
      <c r="C19" s="5" t="s">
        <v>95</v>
      </c>
      <c r="D19" s="6" t="s">
        <v>7</v>
      </c>
      <c r="E19" s="6" t="str">
        <f t="shared" si="1"/>
        <v>Pesado de Passageiros M3: I : GNL : E1</v>
      </c>
      <c r="F19" s="6" t="s">
        <v>57</v>
      </c>
      <c r="G19" s="6" t="s">
        <v>96</v>
      </c>
      <c r="H19" s="9">
        <f>IF(G19="MJ",INDEX(Tabela1[Energia (MJ/Qtd.)],MATCH(C19,Tabela1[Fuel],0)),IF(G19="GJ",INDEX(Tabela1[Energia (GJ/Qtd.)2],MATCH(C19,Tabela1[Fuel],0)),"XXX"))</f>
        <v>4.8000000000000001E-2</v>
      </c>
      <c r="I19" s="9">
        <f>O19*'PAG100 FE GE'!$E$2+P19*'PAG100 FE GE'!$E$3+Q19*'PAG100 FE GE'!$E$4</f>
        <v>74610.37</v>
      </c>
      <c r="J19" s="9">
        <f>O19*'PAG20 FE GE'!$E$2+P19*'PAG20 FE GE'!$E$3+Q19*'PAG20 FE GE'!$E$4</f>
        <v>88217.86</v>
      </c>
      <c r="K19" s="9">
        <f>O19*'PAG100 FE GE'!$D$2+P19*'PAG100 FE GE'!$D$3+Q19*'PAG100 FE GE'!$D$4</f>
        <v>74335.899999999994</v>
      </c>
      <c r="L19" s="9">
        <f>O19*'PAG20 FE GE'!$D$2+P19*'PAG20 FE GE'!$D$3+Q19*'PAG20 FE GE'!$D$4</f>
        <v>88850.5</v>
      </c>
      <c r="M19" s="9">
        <f>O19*'PAG100 FE GE'!$C$2+P19*'PAG100 FE GE'!$C$3+Q19*'PAG100 FE GE'!$C$4</f>
        <v>74807.5</v>
      </c>
      <c r="N19" s="9">
        <f>O19*'PAG20 FE GE'!$C$2+P19*'PAG20 FE GE'!$C$3+Q19*'PAG20 FE GE'!$C$4</f>
        <v>86469.1</v>
      </c>
      <c r="O19" s="9">
        <f>57.25*1000</f>
        <v>57250</v>
      </c>
      <c r="P19" s="9">
        <f>0.2553*1000</f>
        <v>255.30000000000004</v>
      </c>
      <c r="Q19" s="9">
        <f>0.0375*1000</f>
        <v>37.5</v>
      </c>
      <c r="R19" s="9">
        <f>X19*'PAG100 FE GE'!$E$2+Y19*'PAG100 FE GE'!$E$3+Z19*'PAG100 FE GE'!$E$4</f>
        <v>3581.2977599999999</v>
      </c>
      <c r="S19" s="9">
        <f>X19*'PAG20 FE GE'!$E$2+Y19*'PAG20 FE GE'!$E$3+Z19*'PAG20 FE GE'!$E$4</f>
        <v>4234.4572799999996</v>
      </c>
      <c r="T19" s="9">
        <f>X19*'PAG100 FE GE'!$D$2+Y19*'PAG100 FE GE'!$D$3+Z19*'PAG100 FE GE'!$D$4</f>
        <v>3568.1232</v>
      </c>
      <c r="U19" s="9">
        <f>X19*'PAG20 FE GE'!$D$2+Y19*'PAG20 FE GE'!$D$3+Z19*'PAG20 FE GE'!$D$4</f>
        <v>4264.8240000000005</v>
      </c>
      <c r="V19" s="9">
        <f>X19*'PAG100 FE GE'!$C$2+Y19*'PAG100 FE GE'!$C$3+Z19*'PAG100 FE GE'!$C$4</f>
        <v>3590.76</v>
      </c>
      <c r="W19" s="9">
        <f>X19*'PAG20 FE GE'!$C$2+Y19*'PAG20 FE GE'!$C$3+Z19*'PAG20 FE GE'!$C$4</f>
        <v>4150.5168000000003</v>
      </c>
      <c r="X19" s="9">
        <f t="shared" ref="X19:Z19" si="6">O19*$H19</f>
        <v>2748</v>
      </c>
      <c r="Y19" s="9">
        <f t="shared" si="6"/>
        <v>12.254400000000002</v>
      </c>
      <c r="Z19" s="9">
        <f t="shared" si="6"/>
        <v>1.8</v>
      </c>
      <c r="AA19" s="9">
        <f>AG19*'PAG100 FE GE'!$E$2+AH19*'PAG100 FE GE'!$E$3+AI19*'PAG100 FE GE'!$E$4</f>
        <v>1988.91</v>
      </c>
      <c r="AB19" s="9">
        <f>AG19*'PAG20 FE GE'!$E$2+AH19*'PAG20 FE GE'!$E$3+AI19*'PAG20 FE GE'!$E$4</f>
        <v>2351.35</v>
      </c>
      <c r="AC19" s="9">
        <f>AG19*'PAG100 FE GE'!$D$2+AH19*'PAG100 FE GE'!$D$3+AI19*'PAG100 FE GE'!$D$4</f>
        <v>1981.5900000000001</v>
      </c>
      <c r="AD19" s="9">
        <f>AG19*'PAG20 FE GE'!$D$2+AH19*'PAG20 FE GE'!$D$3+AI19*'PAG20 FE GE'!$D$4</f>
        <v>2368.19</v>
      </c>
      <c r="AE19" s="9">
        <f>AG19*'PAG100 FE GE'!$C$2+AH19*'PAG100 FE GE'!$C$3+AI19*'PAG100 FE GE'!$C$4</f>
        <v>1994.19</v>
      </c>
      <c r="AF19" s="9">
        <f>AG19*'PAG20 FE GE'!$C$2+AH19*'PAG20 FE GE'!$C$3+AI19*'PAG20 FE GE'!$C$4</f>
        <v>2304.79</v>
      </c>
      <c r="AG19" s="6">
        <v>1526.19</v>
      </c>
      <c r="AH19" s="6">
        <v>6.8</v>
      </c>
      <c r="AI19" s="6">
        <v>1</v>
      </c>
      <c r="AJ19" s="11">
        <f>AG19/X19*100</f>
        <v>55.538209606986896</v>
      </c>
      <c r="AK19" t="s">
        <v>424</v>
      </c>
      <c r="AL19" t="s">
        <v>791</v>
      </c>
    </row>
    <row r="20" spans="1:38" ht="15.75" thickBot="1" x14ac:dyDescent="0.3">
      <c r="A20" s="4" t="s">
        <v>2</v>
      </c>
      <c r="B20" s="7" t="s">
        <v>13</v>
      </c>
      <c r="C20" s="5" t="s">
        <v>95</v>
      </c>
      <c r="D20" s="6" t="s">
        <v>9</v>
      </c>
      <c r="E20" s="6" t="str">
        <f t="shared" si="1"/>
        <v>Pesado de Passageiros M3: I : GNL : E2</v>
      </c>
      <c r="F20" s="6" t="s">
        <v>57</v>
      </c>
      <c r="G20" s="6" t="s">
        <v>96</v>
      </c>
      <c r="H20" s="9">
        <f>IF(G20="MJ",INDEX(Tabela1[Energia (MJ/Qtd.)],MATCH(C20,Tabela1[Fuel],0)),IF(G20="GJ",INDEX(Tabela1[Energia (GJ/Qtd.)2],MATCH(C20,Tabela1[Fuel],0)),"XXX"))</f>
        <v>4.8000000000000001E-2</v>
      </c>
      <c r="I20" s="17">
        <f>O20*'PAG100 FE GE'!$E$2+P20*'PAG100 FE GE'!$E$3+Q20*'PAG100 FE GE'!$E$4</f>
        <v>-301.89999999999998</v>
      </c>
      <c r="J20" s="17">
        <f>O20*'PAG20 FE GE'!$E$2+P20*'PAG20 FE GE'!$E$3+Q20*'PAG20 FE GE'!$E$4</f>
        <v>-355.2</v>
      </c>
      <c r="K20" s="17">
        <f>O20*'PAG100 FE GE'!$D$2+P20*'PAG100 FE GE'!$D$3+Q20*'PAG100 FE GE'!$D$4</f>
        <v>-294</v>
      </c>
      <c r="L20" s="17">
        <f>O20*'PAG20 FE GE'!$D$2+P20*'PAG20 FE GE'!$D$3+Q20*'PAG20 FE GE'!$D$4</f>
        <v>-350</v>
      </c>
      <c r="M20" s="17">
        <f>O20*'PAG100 FE GE'!$C$2+P20*'PAG100 FE GE'!$C$3+Q20*'PAG100 FE GE'!$C$4</f>
        <v>-324</v>
      </c>
      <c r="N20" s="17">
        <f>O20*'PAG20 FE GE'!$C$2+P20*'PAG20 FE GE'!$C$3+Q20*'PAG20 FE GE'!$C$4</f>
        <v>-362</v>
      </c>
      <c r="O20" s="17">
        <v>-1</v>
      </c>
      <c r="P20" s="17">
        <v>-1</v>
      </c>
      <c r="Q20" s="17">
        <v>-1</v>
      </c>
      <c r="R20" s="17">
        <f>X20*'PAG100 FE GE'!$E$2+Y20*'PAG100 FE GE'!$E$3+Z20*'PAG100 FE GE'!$E$4</f>
        <v>-301.89999999999998</v>
      </c>
      <c r="S20" s="17">
        <f>X20*'PAG20 FE GE'!$E$2+Y20*'PAG20 FE GE'!$E$3+Z20*'PAG20 FE GE'!$E$4</f>
        <v>-355.2</v>
      </c>
      <c r="T20" s="17">
        <f>X20*'PAG100 FE GE'!$D$2+Y20*'PAG100 FE GE'!$D$3+Z20*'PAG100 FE GE'!$D$4</f>
        <v>-294</v>
      </c>
      <c r="U20" s="17">
        <f>X20*'PAG20 FE GE'!$D$2+Y20*'PAG20 FE GE'!$D$3+Z20*'PAG20 FE GE'!$D$4</f>
        <v>-350</v>
      </c>
      <c r="V20" s="17">
        <f>X20*'PAG100 FE GE'!$C$2+Y20*'PAG100 FE GE'!$C$3+Z20*'PAG100 FE GE'!$C$4</f>
        <v>-324</v>
      </c>
      <c r="W20" s="17">
        <f>X20*'PAG20 FE GE'!$C$2+Y20*'PAG20 FE GE'!$C$3+Z20*'PAG20 FE GE'!$C$4</f>
        <v>-362</v>
      </c>
      <c r="X20" s="17">
        <v>-1</v>
      </c>
      <c r="Y20" s="17">
        <v>-1</v>
      </c>
      <c r="Z20" s="17">
        <v>-1</v>
      </c>
      <c r="AA20" s="17">
        <f>AG20*'PAG100 FE GE'!$E$2+AH20*'PAG100 FE GE'!$E$3+AI20*'PAG100 FE GE'!$E$4</f>
        <v>-301.89999999999998</v>
      </c>
      <c r="AB20" s="17">
        <f>AG20*'PAG20 FE GE'!$E$2+AH20*'PAG20 FE GE'!$E$3+AI20*'PAG20 FE GE'!$E$4</f>
        <v>-355.2</v>
      </c>
      <c r="AC20" s="17">
        <f>AG20*'PAG100 FE GE'!$D$2+AH20*'PAG100 FE GE'!$D$3+AI20*'PAG100 FE GE'!$D$4</f>
        <v>-294</v>
      </c>
      <c r="AD20" s="17">
        <f>AG20*'PAG20 FE GE'!$D$2+AH20*'PAG20 FE GE'!$D$3+AI20*'PAG20 FE GE'!$D$4</f>
        <v>-350</v>
      </c>
      <c r="AE20" s="17">
        <f>AG20*'PAG100 FE GE'!$C$2+AH20*'PAG100 FE GE'!$C$3+AI20*'PAG100 FE GE'!$C$4</f>
        <v>-324</v>
      </c>
      <c r="AF20" s="17">
        <f>AG20*'PAG20 FE GE'!$C$2+AH20*'PAG20 FE GE'!$C$3+AI20*'PAG20 FE GE'!$C$4</f>
        <v>-362</v>
      </c>
      <c r="AG20" s="17">
        <v>-1</v>
      </c>
      <c r="AH20" s="17">
        <v>-1</v>
      </c>
      <c r="AI20" s="17">
        <v>-1</v>
      </c>
      <c r="AJ20" s="27">
        <v>-1</v>
      </c>
      <c r="AK20" t="s">
        <v>424</v>
      </c>
      <c r="AL20" t="s">
        <v>791</v>
      </c>
    </row>
    <row r="21" spans="1:38" ht="15.75" thickBot="1" x14ac:dyDescent="0.3">
      <c r="A21" s="4" t="s">
        <v>2</v>
      </c>
      <c r="B21" s="7" t="s">
        <v>13</v>
      </c>
      <c r="C21" s="5" t="s">
        <v>95</v>
      </c>
      <c r="D21" s="6" t="s">
        <v>10</v>
      </c>
      <c r="E21" s="6" t="str">
        <f t="shared" si="1"/>
        <v>Pesado de Passageiros M3: I : GNL : E3</v>
      </c>
      <c r="F21" s="6" t="s">
        <v>57</v>
      </c>
      <c r="G21" s="6" t="s">
        <v>96</v>
      </c>
      <c r="H21" s="9">
        <f>IF(G21="MJ",INDEX(Tabela1[Energia (MJ/Qtd.)],MATCH(C21,Tabela1[Fuel],0)),IF(G21="GJ",INDEX(Tabela1[Energia (GJ/Qtd.)2],MATCH(C21,Tabela1[Fuel],0)),"XXX"))</f>
        <v>4.8000000000000001E-2</v>
      </c>
      <c r="I21" s="9">
        <f>O21*'PAG100 FE GE'!$E$2+P21*'PAG100 FE GE'!$E$3+Q21*'PAG100 FE GE'!$E$4</f>
        <v>71408.34</v>
      </c>
      <c r="J21" s="9">
        <f>O21*'PAG20 FE GE'!$E$2+P21*'PAG20 FE GE'!$E$3+Q21*'PAG20 FE GE'!$E$4</f>
        <v>74531.72</v>
      </c>
      <c r="K21" s="9">
        <f>O21*'PAG100 FE GE'!$D$2+P21*'PAG100 FE GE'!$D$3+Q21*'PAG100 FE GE'!$D$4</f>
        <v>71047.8</v>
      </c>
      <c r="L21" s="9">
        <f>O21*'PAG20 FE GE'!$D$2+P21*'PAG20 FE GE'!$D$3+Q21*'PAG20 FE GE'!$D$4</f>
        <v>74342.2</v>
      </c>
      <c r="M21" s="9">
        <f>O21*'PAG100 FE GE'!$C$2+P21*'PAG100 FE GE'!$C$3+Q21*'PAG100 FE GE'!$C$4</f>
        <v>72383.399999999994</v>
      </c>
      <c r="N21" s="9">
        <f>O21*'PAG20 FE GE'!$C$2+P21*'PAG20 FE GE'!$C$3+Q21*'PAG20 FE GE'!$C$4</f>
        <v>74725.399999999994</v>
      </c>
      <c r="O21" s="9">
        <f>57.27*1000</f>
        <v>57270</v>
      </c>
      <c r="P21" s="9">
        <f>0.0586*1000</f>
        <v>58.6</v>
      </c>
      <c r="Q21" s="9">
        <f>0.0458*1000</f>
        <v>45.8</v>
      </c>
      <c r="R21" s="9">
        <f>X21*'PAG100 FE GE'!$E$2+Y21*'PAG100 FE GE'!$E$3+Z21*'PAG100 FE GE'!$E$4</f>
        <v>3427.60032</v>
      </c>
      <c r="S21" s="9">
        <f>X21*'PAG20 FE GE'!$E$2+Y21*'PAG20 FE GE'!$E$3+Z21*'PAG20 FE GE'!$E$4</f>
        <v>3577.5225599999999</v>
      </c>
      <c r="T21" s="9">
        <f>X21*'PAG100 FE GE'!$D$2+Y21*'PAG100 FE GE'!$D$3+Z21*'PAG100 FE GE'!$D$4</f>
        <v>3410.2944000000002</v>
      </c>
      <c r="U21" s="9">
        <f>X21*'PAG20 FE GE'!$D$2+Y21*'PAG20 FE GE'!$D$3+Z21*'PAG20 FE GE'!$D$4</f>
        <v>3568.4256000000005</v>
      </c>
      <c r="V21" s="9">
        <f>X21*'PAG100 FE GE'!$C$2+Y21*'PAG100 FE GE'!$C$3+Z21*'PAG100 FE GE'!$C$4</f>
        <v>3474.4032000000002</v>
      </c>
      <c r="W21" s="9">
        <f>X21*'PAG20 FE GE'!$C$2+Y21*'PAG20 FE GE'!$C$3+Z21*'PAG20 FE GE'!$C$4</f>
        <v>3586.8191999999999</v>
      </c>
      <c r="X21" s="9">
        <f t="shared" ref="X21:Z21" si="7">O21*$H21</f>
        <v>2748.96</v>
      </c>
      <c r="Y21" s="9">
        <f t="shared" si="7"/>
        <v>2.8128000000000002</v>
      </c>
      <c r="Z21" s="9">
        <f t="shared" si="7"/>
        <v>2.1983999999999999</v>
      </c>
      <c r="AA21" s="9">
        <f>AG21*'PAG100 FE GE'!$E$2+AH21*'PAG100 FE GE'!$E$3+AI21*'PAG100 FE GE'!$E$4</f>
        <v>1559.5719999999999</v>
      </c>
      <c r="AB21" s="9">
        <f>AG21*'PAG20 FE GE'!$E$2+AH21*'PAG20 FE GE'!$E$3+AI21*'PAG20 FE GE'!$E$4</f>
        <v>1627.7959999999998</v>
      </c>
      <c r="AC21" s="9">
        <f>AG21*'PAG100 FE GE'!$D$2+AH21*'PAG100 FE GE'!$D$3+AI21*'PAG100 FE GE'!$D$4</f>
        <v>1551.6999999999998</v>
      </c>
      <c r="AD21" s="9">
        <f>AG21*'PAG20 FE GE'!$D$2+AH21*'PAG20 FE GE'!$D$3+AI21*'PAG20 FE GE'!$D$4</f>
        <v>1623.6599999999999</v>
      </c>
      <c r="AE21" s="9">
        <f>AG21*'PAG100 FE GE'!$C$2+AH21*'PAG100 FE GE'!$C$3+AI21*'PAG100 FE GE'!$C$4</f>
        <v>1580.86</v>
      </c>
      <c r="AF21" s="9">
        <f>AG21*'PAG20 FE GE'!$C$2+AH21*'PAG20 FE GE'!$C$3+AI21*'PAG20 FE GE'!$C$4</f>
        <v>1632.02</v>
      </c>
      <c r="AG21" s="6">
        <v>1250.8599999999999</v>
      </c>
      <c r="AH21" s="6">
        <v>1.28</v>
      </c>
      <c r="AI21" s="6">
        <v>1</v>
      </c>
      <c r="AJ21" s="11">
        <f>AG21/X21*100</f>
        <v>45.503026599150218</v>
      </c>
      <c r="AK21" t="s">
        <v>424</v>
      </c>
      <c r="AL21" t="s">
        <v>791</v>
      </c>
    </row>
    <row r="22" spans="1:38" ht="15.75" thickBot="1" x14ac:dyDescent="0.3">
      <c r="A22" s="4" t="s">
        <v>2</v>
      </c>
      <c r="B22" s="7" t="s">
        <v>13</v>
      </c>
      <c r="C22" s="5" t="s">
        <v>95</v>
      </c>
      <c r="D22" s="6" t="s">
        <v>4</v>
      </c>
      <c r="E22" s="6" t="str">
        <f t="shared" si="1"/>
        <v>Pesado de Passageiros M3: I : GNL : E4</v>
      </c>
      <c r="F22" s="6" t="s">
        <v>57</v>
      </c>
      <c r="G22" s="6" t="s">
        <v>96</v>
      </c>
      <c r="H22" s="9">
        <f>IF(G22="MJ",INDEX(Tabela1[Energia (MJ/Qtd.)],MATCH(C22,Tabela1[Fuel],0)),IF(G22="GJ",INDEX(Tabela1[Energia (GJ/Qtd.)2],MATCH(C22,Tabela1[Fuel],0)),"XXX"))</f>
        <v>4.8000000000000001E-2</v>
      </c>
      <c r="I22" s="17">
        <f>O22*'PAG100 FE GE'!$E$2+P22*'PAG100 FE GE'!$E$3+Q22*'PAG100 FE GE'!$E$4</f>
        <v>-301.89999999999998</v>
      </c>
      <c r="J22" s="17">
        <f>O22*'PAG20 FE GE'!$E$2+P22*'PAG20 FE GE'!$E$3+Q22*'PAG20 FE GE'!$E$4</f>
        <v>-355.2</v>
      </c>
      <c r="K22" s="17">
        <f>O22*'PAG100 FE GE'!$D$2+P22*'PAG100 FE GE'!$D$3+Q22*'PAG100 FE GE'!$D$4</f>
        <v>-294</v>
      </c>
      <c r="L22" s="17">
        <f>O22*'PAG20 FE GE'!$D$2+P22*'PAG20 FE GE'!$D$3+Q22*'PAG20 FE GE'!$D$4</f>
        <v>-350</v>
      </c>
      <c r="M22" s="17">
        <f>O22*'PAG100 FE GE'!$C$2+P22*'PAG100 FE GE'!$C$3+Q22*'PAG100 FE GE'!$C$4</f>
        <v>-324</v>
      </c>
      <c r="N22" s="17">
        <f>O22*'PAG20 FE GE'!$C$2+P22*'PAG20 FE GE'!$C$3+Q22*'PAG20 FE GE'!$C$4</f>
        <v>-362</v>
      </c>
      <c r="O22" s="17">
        <v>-1</v>
      </c>
      <c r="P22" s="17">
        <v>-1</v>
      </c>
      <c r="Q22" s="17">
        <v>-1</v>
      </c>
      <c r="R22" s="17">
        <f>X22*'PAG100 FE GE'!$E$2+Y22*'PAG100 FE GE'!$E$3+Z22*'PAG100 FE GE'!$E$4</f>
        <v>-301.89999999999998</v>
      </c>
      <c r="S22" s="17">
        <f>X22*'PAG20 FE GE'!$E$2+Y22*'PAG20 FE GE'!$E$3+Z22*'PAG20 FE GE'!$E$4</f>
        <v>-355.2</v>
      </c>
      <c r="T22" s="17">
        <f>X22*'PAG100 FE GE'!$D$2+Y22*'PAG100 FE GE'!$D$3+Z22*'PAG100 FE GE'!$D$4</f>
        <v>-294</v>
      </c>
      <c r="U22" s="17">
        <f>X22*'PAG20 FE GE'!$D$2+Y22*'PAG20 FE GE'!$D$3+Z22*'PAG20 FE GE'!$D$4</f>
        <v>-350</v>
      </c>
      <c r="V22" s="17">
        <f>X22*'PAG100 FE GE'!$C$2+Y22*'PAG100 FE GE'!$C$3+Z22*'PAG100 FE GE'!$C$4</f>
        <v>-324</v>
      </c>
      <c r="W22" s="17">
        <f>X22*'PAG20 FE GE'!$C$2+Y22*'PAG20 FE GE'!$C$3+Z22*'PAG20 FE GE'!$C$4</f>
        <v>-362</v>
      </c>
      <c r="X22" s="17">
        <v>-1</v>
      </c>
      <c r="Y22" s="17">
        <v>-1</v>
      </c>
      <c r="Z22" s="17">
        <v>-1</v>
      </c>
      <c r="AA22" s="17">
        <f>AG22*'PAG100 FE GE'!$E$2+AH22*'PAG100 FE GE'!$E$3+AI22*'PAG100 FE GE'!$E$4</f>
        <v>-301.89999999999998</v>
      </c>
      <c r="AB22" s="17">
        <f>AG22*'PAG20 FE GE'!$E$2+AH22*'PAG20 FE GE'!$E$3+AI22*'PAG20 FE GE'!$E$4</f>
        <v>-355.2</v>
      </c>
      <c r="AC22" s="17">
        <f>AG22*'PAG100 FE GE'!$D$2+AH22*'PAG100 FE GE'!$D$3+AI22*'PAG100 FE GE'!$D$4</f>
        <v>-294</v>
      </c>
      <c r="AD22" s="17">
        <f>AG22*'PAG20 FE GE'!$D$2+AH22*'PAG20 FE GE'!$D$3+AI22*'PAG20 FE GE'!$D$4</f>
        <v>-350</v>
      </c>
      <c r="AE22" s="17">
        <f>AG22*'PAG100 FE GE'!$C$2+AH22*'PAG100 FE GE'!$C$3+AI22*'PAG100 FE GE'!$C$4</f>
        <v>-324</v>
      </c>
      <c r="AF22" s="17">
        <f>AG22*'PAG20 FE GE'!$C$2+AH22*'PAG20 FE GE'!$C$3+AI22*'PAG20 FE GE'!$C$4</f>
        <v>-362</v>
      </c>
      <c r="AG22" s="17">
        <v>-1</v>
      </c>
      <c r="AH22" s="17">
        <v>-1</v>
      </c>
      <c r="AI22" s="17">
        <v>-1</v>
      </c>
      <c r="AJ22" s="27">
        <v>-1</v>
      </c>
      <c r="AK22" t="s">
        <v>424</v>
      </c>
      <c r="AL22" t="s">
        <v>791</v>
      </c>
    </row>
    <row r="23" spans="1:38" ht="15.75" thickBot="1" x14ac:dyDescent="0.3">
      <c r="A23" s="4" t="s">
        <v>2</v>
      </c>
      <c r="B23" s="7" t="s">
        <v>13</v>
      </c>
      <c r="C23" s="5" t="s">
        <v>95</v>
      </c>
      <c r="D23" s="6" t="s">
        <v>5</v>
      </c>
      <c r="E23" s="6" t="str">
        <f t="shared" si="1"/>
        <v>Pesado de Passageiros M3: I : GNL : E5</v>
      </c>
      <c r="F23" s="6" t="s">
        <v>57</v>
      </c>
      <c r="G23" s="6" t="s">
        <v>96</v>
      </c>
      <c r="H23" s="9">
        <f>IF(G23="MJ",INDEX(Tabela1[Energia (MJ/Qtd.)],MATCH(C23,Tabela1[Fuel],0)),IF(G23="GJ",INDEX(Tabela1[Energia (GJ/Qtd.)2],MATCH(C23,Tabela1[Fuel],0)),"XXX"))</f>
        <v>4.8000000000000001E-2</v>
      </c>
      <c r="I23" s="9">
        <f>O23*'PAG100 FE GE'!$E$2+P23*'PAG100 FE GE'!$E$3+Q23*'PAG100 FE GE'!$E$4</f>
        <v>65053.23</v>
      </c>
      <c r="J23" s="9">
        <f>O23*'PAG20 FE GE'!$E$2+P23*'PAG20 FE GE'!$E$3+Q23*'PAG20 FE GE'!$E$4</f>
        <v>67275.839999999997</v>
      </c>
      <c r="K23" s="9">
        <f>O23*'PAG100 FE GE'!$D$2+P23*'PAG100 FE GE'!$D$3+Q23*'PAG100 FE GE'!$D$4</f>
        <v>64716.6</v>
      </c>
      <c r="L23" s="9">
        <f>O23*'PAG20 FE GE'!$D$2+P23*'PAG20 FE GE'!$D$3+Q23*'PAG20 FE GE'!$D$4</f>
        <v>67050.899999999994</v>
      </c>
      <c r="M23" s="9">
        <f>O23*'PAG100 FE GE'!$C$2+P23*'PAG100 FE GE'!$C$3+Q23*'PAG100 FE GE'!$C$4</f>
        <v>65997.3</v>
      </c>
      <c r="N23" s="9">
        <f>O23*'PAG20 FE GE'!$C$2+P23*'PAG20 FE GE'!$C$3+Q23*'PAG20 FE GE'!$C$4</f>
        <v>67573.8</v>
      </c>
      <c r="O23" s="9">
        <f>52.26*1000</f>
        <v>52260</v>
      </c>
      <c r="P23" s="9">
        <f>0.0417*1000</f>
        <v>41.7</v>
      </c>
      <c r="Q23" s="9">
        <f>0.0426*1000</f>
        <v>42.6</v>
      </c>
      <c r="R23" s="9">
        <f>X23*'PAG100 FE GE'!$E$2+Y23*'PAG100 FE GE'!$E$3+Z23*'PAG100 FE GE'!$E$4</f>
        <v>3122.5550399999997</v>
      </c>
      <c r="S23" s="9">
        <f>X23*'PAG20 FE GE'!$E$2+Y23*'PAG20 FE GE'!$E$3+Z23*'PAG20 FE GE'!$E$4</f>
        <v>3229.2403199999999</v>
      </c>
      <c r="T23" s="9">
        <f>X23*'PAG100 FE GE'!$D$2+Y23*'PAG100 FE GE'!$D$3+Z23*'PAG100 FE GE'!$D$4</f>
        <v>3106.3968</v>
      </c>
      <c r="U23" s="9">
        <f>X23*'PAG20 FE GE'!$D$2+Y23*'PAG20 FE GE'!$D$3+Z23*'PAG20 FE GE'!$D$4</f>
        <v>3218.4431999999997</v>
      </c>
      <c r="V23" s="9">
        <f>X23*'PAG100 FE GE'!$C$2+Y23*'PAG100 FE GE'!$C$3+Z23*'PAG100 FE GE'!$C$4</f>
        <v>3167.8703999999998</v>
      </c>
      <c r="W23" s="9">
        <f>X23*'PAG20 FE GE'!$C$2+Y23*'PAG20 FE GE'!$C$3+Z23*'PAG20 FE GE'!$C$4</f>
        <v>3243.5424000000003</v>
      </c>
      <c r="X23" s="9">
        <f t="shared" ref="X23:Z23" si="8">O23*$H23</f>
        <v>2508.48</v>
      </c>
      <c r="Y23" s="9">
        <f t="shared" si="8"/>
        <v>2.0016000000000003</v>
      </c>
      <c r="Z23" s="9">
        <f t="shared" si="8"/>
        <v>2.0448</v>
      </c>
      <c r="AA23" s="9">
        <f>AG23*'PAG100 FE GE'!$E$2+AH23*'PAG100 FE GE'!$E$3+AI23*'PAG100 FE GE'!$E$4</f>
        <v>1644.702</v>
      </c>
      <c r="AB23" s="9">
        <f>AG23*'PAG20 FE GE'!$E$2+AH23*'PAG20 FE GE'!$E$3+AI23*'PAG20 FE GE'!$E$4</f>
        <v>1696.9359999999999</v>
      </c>
      <c r="AC23" s="9">
        <f>AG23*'PAG100 FE GE'!$D$2+AH23*'PAG100 FE GE'!$D$3+AI23*'PAG100 FE GE'!$D$4</f>
        <v>1636.8</v>
      </c>
      <c r="AD23" s="9">
        <f>AG23*'PAG20 FE GE'!$D$2+AH23*'PAG20 FE GE'!$D$3+AI23*'PAG20 FE GE'!$D$4</f>
        <v>1691.6599999999999</v>
      </c>
      <c r="AE23" s="9">
        <f>AG23*'PAG100 FE GE'!$C$2+AH23*'PAG100 FE GE'!$C$3+AI23*'PAG100 FE GE'!$C$4</f>
        <v>1666.86</v>
      </c>
      <c r="AF23" s="9">
        <f>AG23*'PAG20 FE GE'!$C$2+AH23*'PAG20 FE GE'!$C$3+AI23*'PAG20 FE GE'!$C$4</f>
        <v>1703.9199999999998</v>
      </c>
      <c r="AG23" s="6">
        <v>1344.36</v>
      </c>
      <c r="AH23" s="6">
        <v>0.98</v>
      </c>
      <c r="AI23" s="6">
        <v>1</v>
      </c>
      <c r="AJ23" s="11">
        <f>AG23/X23*100</f>
        <v>53.592613853807883</v>
      </c>
      <c r="AK23" t="s">
        <v>424</v>
      </c>
      <c r="AL23" t="s">
        <v>791</v>
      </c>
    </row>
    <row r="24" spans="1:38" ht="15.75" thickBot="1" x14ac:dyDescent="0.3">
      <c r="A24" s="4" t="s">
        <v>2</v>
      </c>
      <c r="B24" s="7" t="s">
        <v>13</v>
      </c>
      <c r="C24" s="5" t="s">
        <v>95</v>
      </c>
      <c r="D24" s="6" t="s">
        <v>6</v>
      </c>
      <c r="E24" s="6" t="str">
        <f t="shared" si="1"/>
        <v>Pesado de Passageiros M3: I : GNL : E6</v>
      </c>
      <c r="F24" s="6" t="s">
        <v>57</v>
      </c>
      <c r="G24" s="6" t="s">
        <v>96</v>
      </c>
      <c r="H24" s="9">
        <f>IF(G24="MJ",INDEX(Tabela1[Energia (MJ/Qtd.)],MATCH(C24,Tabela1[Fuel],0)),IF(G24="GJ",INDEX(Tabela1[Energia (GJ/Qtd.)2],MATCH(C24,Tabela1[Fuel],0)),"XXX"))</f>
        <v>4.8000000000000001E-2</v>
      </c>
      <c r="I24" s="17">
        <f>O24*'PAG100 FE GE'!$E$2+P24*'PAG100 FE GE'!$E$3+Q24*'PAG100 FE GE'!$E$4</f>
        <v>-301.89999999999998</v>
      </c>
      <c r="J24" s="17">
        <f>O24*'PAG20 FE GE'!$E$2+P24*'PAG20 FE GE'!$E$3+Q24*'PAG20 FE GE'!$E$4</f>
        <v>-355.2</v>
      </c>
      <c r="K24" s="17">
        <f>O24*'PAG100 FE GE'!$D$2+P24*'PAG100 FE GE'!$D$3+Q24*'PAG100 FE GE'!$D$4</f>
        <v>-294</v>
      </c>
      <c r="L24" s="17">
        <f>O24*'PAG20 FE GE'!$D$2+P24*'PAG20 FE GE'!$D$3+Q24*'PAG20 FE GE'!$D$4</f>
        <v>-350</v>
      </c>
      <c r="M24" s="17">
        <f>O24*'PAG100 FE GE'!$C$2+P24*'PAG100 FE GE'!$C$3+Q24*'PAG100 FE GE'!$C$4</f>
        <v>-324</v>
      </c>
      <c r="N24" s="17">
        <f>O24*'PAG20 FE GE'!$C$2+P24*'PAG20 FE GE'!$C$3+Q24*'PAG20 FE GE'!$C$4</f>
        <v>-362</v>
      </c>
      <c r="O24" s="17">
        <v>-1</v>
      </c>
      <c r="P24" s="17">
        <v>-1</v>
      </c>
      <c r="Q24" s="17">
        <v>-1</v>
      </c>
      <c r="R24" s="17">
        <f>X24*'PAG100 FE GE'!$E$2+Y24*'PAG100 FE GE'!$E$3+Z24*'PAG100 FE GE'!$E$4</f>
        <v>-301.89999999999998</v>
      </c>
      <c r="S24" s="17">
        <f>X24*'PAG20 FE GE'!$E$2+Y24*'PAG20 FE GE'!$E$3+Z24*'PAG20 FE GE'!$E$4</f>
        <v>-355.2</v>
      </c>
      <c r="T24" s="17">
        <f>X24*'PAG100 FE GE'!$D$2+Y24*'PAG100 FE GE'!$D$3+Z24*'PAG100 FE GE'!$D$4</f>
        <v>-294</v>
      </c>
      <c r="U24" s="17">
        <f>X24*'PAG20 FE GE'!$D$2+Y24*'PAG20 FE GE'!$D$3+Z24*'PAG20 FE GE'!$D$4</f>
        <v>-350</v>
      </c>
      <c r="V24" s="17">
        <f>X24*'PAG100 FE GE'!$C$2+Y24*'PAG100 FE GE'!$C$3+Z24*'PAG100 FE GE'!$C$4</f>
        <v>-324</v>
      </c>
      <c r="W24" s="17">
        <f>X24*'PAG20 FE GE'!$C$2+Y24*'PAG20 FE GE'!$C$3+Z24*'PAG20 FE GE'!$C$4</f>
        <v>-362</v>
      </c>
      <c r="X24" s="17">
        <v>-1</v>
      </c>
      <c r="Y24" s="17">
        <v>-1</v>
      </c>
      <c r="Z24" s="17">
        <v>-1</v>
      </c>
      <c r="AA24" s="17">
        <f>AG24*'PAG100 FE GE'!$E$2+AH24*'PAG100 FE GE'!$E$3+AI24*'PAG100 FE GE'!$E$4</f>
        <v>-301.89999999999998</v>
      </c>
      <c r="AB24" s="17">
        <f>AG24*'PAG20 FE GE'!$E$2+AH24*'PAG20 FE GE'!$E$3+AI24*'PAG20 FE GE'!$E$4</f>
        <v>-355.2</v>
      </c>
      <c r="AC24" s="17">
        <f>AG24*'PAG100 FE GE'!$D$2+AH24*'PAG100 FE GE'!$D$3+AI24*'PAG100 FE GE'!$D$4</f>
        <v>-294</v>
      </c>
      <c r="AD24" s="17">
        <f>AG24*'PAG20 FE GE'!$D$2+AH24*'PAG20 FE GE'!$D$3+AI24*'PAG20 FE GE'!$D$4</f>
        <v>-350</v>
      </c>
      <c r="AE24" s="17">
        <f>AG24*'PAG100 FE GE'!$C$2+AH24*'PAG100 FE GE'!$C$3+AI24*'PAG100 FE GE'!$C$4</f>
        <v>-324</v>
      </c>
      <c r="AF24" s="17">
        <f>AG24*'PAG20 FE GE'!$C$2+AH24*'PAG20 FE GE'!$C$3+AI24*'PAG20 FE GE'!$C$4</f>
        <v>-362</v>
      </c>
      <c r="AG24" s="17">
        <v>-1</v>
      </c>
      <c r="AH24" s="17">
        <v>-1</v>
      </c>
      <c r="AI24" s="17">
        <v>-1</v>
      </c>
      <c r="AJ24" s="27">
        <v>-1</v>
      </c>
      <c r="AK24" t="s">
        <v>424</v>
      </c>
      <c r="AL24" t="s">
        <v>791</v>
      </c>
    </row>
    <row r="25" spans="1:38" ht="15.75" thickBot="1" x14ac:dyDescent="0.3">
      <c r="A25" s="4" t="s">
        <v>2</v>
      </c>
      <c r="B25" s="7" t="s">
        <v>13</v>
      </c>
      <c r="C25" s="5" t="s">
        <v>95</v>
      </c>
      <c r="D25" s="6" t="s">
        <v>81</v>
      </c>
      <c r="E25" s="6" t="str">
        <f t="shared" si="1"/>
        <v>Pesado de Passageiros M3: I : GNL : E6 D/E E7</v>
      </c>
      <c r="F25" s="6" t="s">
        <v>57</v>
      </c>
      <c r="G25" s="6" t="s">
        <v>96</v>
      </c>
      <c r="H25" s="9">
        <f>IF(G25="MJ",INDEX(Tabela1[Energia (MJ/Qtd.)],MATCH(C25,Tabela1[Fuel],0)),IF(G25="GJ",INDEX(Tabela1[Energia (GJ/Qtd.)2],MATCH(C25,Tabela1[Fuel],0)),"XXX"))</f>
        <v>4.8000000000000001E-2</v>
      </c>
      <c r="I25" s="17">
        <f>O25*'PAG100 FE GE'!$E$2+P25*'PAG100 FE GE'!$E$3+Q25*'PAG100 FE GE'!$E$4</f>
        <v>-301.89999999999998</v>
      </c>
      <c r="J25" s="17">
        <f>O25*'PAG20 FE GE'!$E$2+P25*'PAG20 FE GE'!$E$3+Q25*'PAG20 FE GE'!$E$4</f>
        <v>-355.2</v>
      </c>
      <c r="K25" s="17">
        <f>O25*'PAG100 FE GE'!$D$2+P25*'PAG100 FE GE'!$D$3+Q25*'PAG100 FE GE'!$D$4</f>
        <v>-294</v>
      </c>
      <c r="L25" s="17">
        <f>O25*'PAG20 FE GE'!$D$2+P25*'PAG20 FE GE'!$D$3+Q25*'PAG20 FE GE'!$D$4</f>
        <v>-350</v>
      </c>
      <c r="M25" s="17">
        <f>O25*'PAG100 FE GE'!$C$2+P25*'PAG100 FE GE'!$C$3+Q25*'PAG100 FE GE'!$C$4</f>
        <v>-324</v>
      </c>
      <c r="N25" s="17">
        <f>O25*'PAG20 FE GE'!$C$2+P25*'PAG20 FE GE'!$C$3+Q25*'PAG20 FE GE'!$C$4</f>
        <v>-362</v>
      </c>
      <c r="O25" s="17">
        <v>-1</v>
      </c>
      <c r="P25" s="17">
        <v>-1</v>
      </c>
      <c r="Q25" s="17">
        <v>-1</v>
      </c>
      <c r="R25" s="17">
        <f>X25*'PAG100 FE GE'!$E$2+Y25*'PAG100 FE GE'!$E$3+Z25*'PAG100 FE GE'!$E$4</f>
        <v>-301.89999999999998</v>
      </c>
      <c r="S25" s="17">
        <f>X25*'PAG20 FE GE'!$E$2+Y25*'PAG20 FE GE'!$E$3+Z25*'PAG20 FE GE'!$E$4</f>
        <v>-355.2</v>
      </c>
      <c r="T25" s="17">
        <f>X25*'PAG100 FE GE'!$D$2+Y25*'PAG100 FE GE'!$D$3+Z25*'PAG100 FE GE'!$D$4</f>
        <v>-294</v>
      </c>
      <c r="U25" s="17">
        <f>X25*'PAG20 FE GE'!$D$2+Y25*'PAG20 FE GE'!$D$3+Z25*'PAG20 FE GE'!$D$4</f>
        <v>-350</v>
      </c>
      <c r="V25" s="17">
        <f>X25*'PAG100 FE GE'!$C$2+Y25*'PAG100 FE GE'!$C$3+Z25*'PAG100 FE GE'!$C$4</f>
        <v>-324</v>
      </c>
      <c r="W25" s="17">
        <f>X25*'PAG20 FE GE'!$C$2+Y25*'PAG20 FE GE'!$C$3+Z25*'PAG20 FE GE'!$C$4</f>
        <v>-362</v>
      </c>
      <c r="X25" s="17">
        <v>-1</v>
      </c>
      <c r="Y25" s="17">
        <v>-1</v>
      </c>
      <c r="Z25" s="17">
        <v>-1</v>
      </c>
      <c r="AA25" s="17">
        <f>AG25*'PAG100 FE GE'!$E$2+AH25*'PAG100 FE GE'!$E$3+AI25*'PAG100 FE GE'!$E$4</f>
        <v>-301.89999999999998</v>
      </c>
      <c r="AB25" s="17">
        <f>AG25*'PAG20 FE GE'!$E$2+AH25*'PAG20 FE GE'!$E$3+AI25*'PAG20 FE GE'!$E$4</f>
        <v>-355.2</v>
      </c>
      <c r="AC25" s="17">
        <f>AG25*'PAG100 FE GE'!$D$2+AH25*'PAG100 FE GE'!$D$3+AI25*'PAG100 FE GE'!$D$4</f>
        <v>-294</v>
      </c>
      <c r="AD25" s="17">
        <f>AG25*'PAG20 FE GE'!$D$2+AH25*'PAG20 FE GE'!$D$3+AI25*'PAG20 FE GE'!$D$4</f>
        <v>-350</v>
      </c>
      <c r="AE25" s="17">
        <f>AG25*'PAG100 FE GE'!$C$2+AH25*'PAG100 FE GE'!$C$3+AI25*'PAG100 FE GE'!$C$4</f>
        <v>-324</v>
      </c>
      <c r="AF25" s="17">
        <f>AG25*'PAG20 FE GE'!$C$2+AH25*'PAG20 FE GE'!$C$3+AI25*'PAG20 FE GE'!$C$4</f>
        <v>-362</v>
      </c>
      <c r="AG25" s="17">
        <v>-1</v>
      </c>
      <c r="AH25" s="17">
        <v>-1</v>
      </c>
      <c r="AI25" s="17">
        <v>-1</v>
      </c>
      <c r="AJ25" s="27">
        <v>-1</v>
      </c>
      <c r="AK25" t="s">
        <v>424</v>
      </c>
      <c r="AL25" t="s">
        <v>791</v>
      </c>
    </row>
    <row r="26" spans="1:38" ht="15.75" thickBot="1" x14ac:dyDescent="0.3">
      <c r="A26" s="4" t="s">
        <v>2</v>
      </c>
      <c r="B26" s="7" t="s">
        <v>15</v>
      </c>
      <c r="C26" s="5" t="s">
        <v>3</v>
      </c>
      <c r="D26" s="6" t="s">
        <v>8</v>
      </c>
      <c r="E26" s="6" t="str">
        <f t="shared" si="1"/>
        <v>Pesado de Passageiros M3: II : Gasóleo : E0</v>
      </c>
      <c r="F26" s="6" t="s">
        <v>55</v>
      </c>
      <c r="G26" s="6" t="s">
        <v>96</v>
      </c>
      <c r="H26" s="9">
        <f>IF(G26="MJ",INDEX(Tabela1[Energia (MJ/Qtd.)],MATCH(C26,Tabela1[Fuel],0)),IF(G26="GJ",INDEX(Tabela1[Energia (GJ/Qtd.)2],MATCH(C26,Tabela1[Fuel],0)),"XXX"))</f>
        <v>3.5868000000000004E-2</v>
      </c>
      <c r="I26" s="17">
        <f>O26*'PAG100 FE GE'!$E$2+P26*'PAG100 FE GE'!$E$3+Q26*'PAG100 FE GE'!$E$4</f>
        <v>-301.89999999999998</v>
      </c>
      <c r="J26" s="17">
        <f>O26*'PAG20 FE GE'!$E$2+P26*'PAG20 FE GE'!$E$3+Q26*'PAG20 FE GE'!$E$4</f>
        <v>-355.2</v>
      </c>
      <c r="K26" s="17">
        <f>O26*'PAG100 FE GE'!$D$2+P26*'PAG100 FE GE'!$D$3+Q26*'PAG100 FE GE'!$D$4</f>
        <v>-294</v>
      </c>
      <c r="L26" s="17">
        <f>O26*'PAG20 FE GE'!$D$2+P26*'PAG20 FE GE'!$D$3+Q26*'PAG20 FE GE'!$D$4</f>
        <v>-350</v>
      </c>
      <c r="M26" s="17">
        <f>O26*'PAG100 FE GE'!$C$2+P26*'PAG100 FE GE'!$C$3+Q26*'PAG100 FE GE'!$C$4</f>
        <v>-324</v>
      </c>
      <c r="N26" s="17">
        <f>O26*'PAG20 FE GE'!$C$2+P26*'PAG20 FE GE'!$C$3+Q26*'PAG20 FE GE'!$C$4</f>
        <v>-362</v>
      </c>
      <c r="O26" s="17">
        <v>-1</v>
      </c>
      <c r="P26" s="17">
        <v>-1</v>
      </c>
      <c r="Q26" s="17">
        <v>-1</v>
      </c>
      <c r="R26" s="17">
        <f>X26*'PAG100 FE GE'!$E$2+Y26*'PAG100 FE GE'!$E$3+Z26*'PAG100 FE GE'!$E$4</f>
        <v>-301.89999999999998</v>
      </c>
      <c r="S26" s="17">
        <f>X26*'PAG20 FE GE'!$E$2+Y26*'PAG20 FE GE'!$E$3+Z26*'PAG20 FE GE'!$E$4</f>
        <v>-355.2</v>
      </c>
      <c r="T26" s="17">
        <f>X26*'PAG100 FE GE'!$D$2+Y26*'PAG100 FE GE'!$D$3+Z26*'PAG100 FE GE'!$D$4</f>
        <v>-294</v>
      </c>
      <c r="U26" s="17">
        <f>X26*'PAG20 FE GE'!$D$2+Y26*'PAG20 FE GE'!$D$3+Z26*'PAG20 FE GE'!$D$4</f>
        <v>-350</v>
      </c>
      <c r="V26" s="17">
        <f>X26*'PAG100 FE GE'!$C$2+Y26*'PAG100 FE GE'!$C$3+Z26*'PAG100 FE GE'!$C$4</f>
        <v>-324</v>
      </c>
      <c r="W26" s="17">
        <f>X26*'PAG20 FE GE'!$C$2+Y26*'PAG20 FE GE'!$C$3+Z26*'PAG20 FE GE'!$C$4</f>
        <v>-362</v>
      </c>
      <c r="X26" s="17">
        <v>-1</v>
      </c>
      <c r="Y26" s="17">
        <v>-1</v>
      </c>
      <c r="Z26" s="17">
        <v>-1</v>
      </c>
      <c r="AA26" s="17">
        <f>AG26*'PAG100 FE GE'!$E$2+AH26*'PAG100 FE GE'!$E$3+AI26*'PAG100 FE GE'!$E$4</f>
        <v>-301.89999999999998</v>
      </c>
      <c r="AB26" s="17">
        <f>AG26*'PAG20 FE GE'!$E$2+AH26*'PAG20 FE GE'!$E$3+AI26*'PAG20 FE GE'!$E$4</f>
        <v>-355.2</v>
      </c>
      <c r="AC26" s="17">
        <f>AG26*'PAG100 FE GE'!$D$2+AH26*'PAG100 FE GE'!$D$3+AI26*'PAG100 FE GE'!$D$4</f>
        <v>-294</v>
      </c>
      <c r="AD26" s="17">
        <f>AG26*'PAG20 FE GE'!$D$2+AH26*'PAG20 FE GE'!$D$3+AI26*'PAG20 FE GE'!$D$4</f>
        <v>-350</v>
      </c>
      <c r="AE26" s="17">
        <f>AG26*'PAG100 FE GE'!$C$2+AH26*'PAG100 FE GE'!$C$3+AI26*'PAG100 FE GE'!$C$4</f>
        <v>-324</v>
      </c>
      <c r="AF26" s="17">
        <f>AG26*'PAG20 FE GE'!$C$2+AH26*'PAG20 FE GE'!$C$3+AI26*'PAG20 FE GE'!$C$4</f>
        <v>-362</v>
      </c>
      <c r="AG26" s="17">
        <v>-1</v>
      </c>
      <c r="AH26" s="17">
        <v>-1</v>
      </c>
      <c r="AI26" s="17">
        <v>-1</v>
      </c>
      <c r="AJ26" s="27">
        <v>-1</v>
      </c>
      <c r="AK26" t="s">
        <v>424</v>
      </c>
      <c r="AL26" t="s">
        <v>791</v>
      </c>
    </row>
    <row r="27" spans="1:38" ht="15.75" thickBot="1" x14ac:dyDescent="0.3">
      <c r="A27" s="4" t="s">
        <v>2</v>
      </c>
      <c r="B27" s="7" t="s">
        <v>15</v>
      </c>
      <c r="C27" s="5" t="s">
        <v>3</v>
      </c>
      <c r="D27" s="6" t="s">
        <v>7</v>
      </c>
      <c r="E27" s="6" t="str">
        <f t="shared" si="1"/>
        <v>Pesado de Passageiros M3: II : Gasóleo : E1</v>
      </c>
      <c r="F27" s="6" t="s">
        <v>55</v>
      </c>
      <c r="G27" s="6" t="s">
        <v>96</v>
      </c>
      <c r="H27" s="9">
        <f>IF(G27="MJ",INDEX(Tabela1[Energia (MJ/Qtd.)],MATCH(C27,Tabela1[Fuel],0)),IF(G27="GJ",INDEX(Tabela1[Energia (GJ/Qtd.)2],MATCH(C27,Tabela1[Fuel],0)),"XXX"))</f>
        <v>3.5868000000000004E-2</v>
      </c>
      <c r="I27" s="17">
        <f>O27*'PAG100 FE GE'!$E$2+P27*'PAG100 FE GE'!$E$3+Q27*'PAG100 FE GE'!$E$4</f>
        <v>-301.89999999999998</v>
      </c>
      <c r="J27" s="17">
        <f>O27*'PAG20 FE GE'!$E$2+P27*'PAG20 FE GE'!$E$3+Q27*'PAG20 FE GE'!$E$4</f>
        <v>-355.2</v>
      </c>
      <c r="K27" s="17">
        <f>O27*'PAG100 FE GE'!$D$2+P27*'PAG100 FE GE'!$D$3+Q27*'PAG100 FE GE'!$D$4</f>
        <v>-294</v>
      </c>
      <c r="L27" s="17">
        <f>O27*'PAG20 FE GE'!$D$2+P27*'PAG20 FE GE'!$D$3+Q27*'PAG20 FE GE'!$D$4</f>
        <v>-350</v>
      </c>
      <c r="M27" s="17">
        <f>O27*'PAG100 FE GE'!$C$2+P27*'PAG100 FE GE'!$C$3+Q27*'PAG100 FE GE'!$C$4</f>
        <v>-324</v>
      </c>
      <c r="N27" s="17">
        <f>O27*'PAG20 FE GE'!$C$2+P27*'PAG20 FE GE'!$C$3+Q27*'PAG20 FE GE'!$C$4</f>
        <v>-362</v>
      </c>
      <c r="O27" s="17">
        <v>-1</v>
      </c>
      <c r="P27" s="17">
        <v>-1</v>
      </c>
      <c r="Q27" s="17">
        <v>-1</v>
      </c>
      <c r="R27" s="17">
        <f>X27*'PAG100 FE GE'!$E$2+Y27*'PAG100 FE GE'!$E$3+Z27*'PAG100 FE GE'!$E$4</f>
        <v>-301.89999999999998</v>
      </c>
      <c r="S27" s="17">
        <f>X27*'PAG20 FE GE'!$E$2+Y27*'PAG20 FE GE'!$E$3+Z27*'PAG20 FE GE'!$E$4</f>
        <v>-355.2</v>
      </c>
      <c r="T27" s="17">
        <f>X27*'PAG100 FE GE'!$D$2+Y27*'PAG100 FE GE'!$D$3+Z27*'PAG100 FE GE'!$D$4</f>
        <v>-294</v>
      </c>
      <c r="U27" s="17">
        <f>X27*'PAG20 FE GE'!$D$2+Y27*'PAG20 FE GE'!$D$3+Z27*'PAG20 FE GE'!$D$4</f>
        <v>-350</v>
      </c>
      <c r="V27" s="17">
        <f>X27*'PAG100 FE GE'!$C$2+Y27*'PAG100 FE GE'!$C$3+Z27*'PAG100 FE GE'!$C$4</f>
        <v>-324</v>
      </c>
      <c r="W27" s="17">
        <f>X27*'PAG20 FE GE'!$C$2+Y27*'PAG20 FE GE'!$C$3+Z27*'PAG20 FE GE'!$C$4</f>
        <v>-362</v>
      </c>
      <c r="X27" s="17">
        <v>-1</v>
      </c>
      <c r="Y27" s="17">
        <v>-1</v>
      </c>
      <c r="Z27" s="17">
        <v>-1</v>
      </c>
      <c r="AA27" s="17">
        <f>AG27*'PAG100 FE GE'!$E$2+AH27*'PAG100 FE GE'!$E$3+AI27*'PAG100 FE GE'!$E$4</f>
        <v>-301.89999999999998</v>
      </c>
      <c r="AB27" s="17">
        <f>AG27*'PAG20 FE GE'!$E$2+AH27*'PAG20 FE GE'!$E$3+AI27*'PAG20 FE GE'!$E$4</f>
        <v>-355.2</v>
      </c>
      <c r="AC27" s="17">
        <f>AG27*'PAG100 FE GE'!$D$2+AH27*'PAG100 FE GE'!$D$3+AI27*'PAG100 FE GE'!$D$4</f>
        <v>-294</v>
      </c>
      <c r="AD27" s="17">
        <f>AG27*'PAG20 FE GE'!$D$2+AH27*'PAG20 FE GE'!$D$3+AI27*'PAG20 FE GE'!$D$4</f>
        <v>-350</v>
      </c>
      <c r="AE27" s="17">
        <f>AG27*'PAG100 FE GE'!$C$2+AH27*'PAG100 FE GE'!$C$3+AI27*'PAG100 FE GE'!$C$4</f>
        <v>-324</v>
      </c>
      <c r="AF27" s="17">
        <f>AG27*'PAG20 FE GE'!$C$2+AH27*'PAG20 FE GE'!$C$3+AI27*'PAG20 FE GE'!$C$4</f>
        <v>-362</v>
      </c>
      <c r="AG27" s="17">
        <v>-1</v>
      </c>
      <c r="AH27" s="17">
        <v>-1</v>
      </c>
      <c r="AI27" s="17">
        <v>-1</v>
      </c>
      <c r="AJ27" s="27">
        <v>-1</v>
      </c>
      <c r="AK27" t="s">
        <v>424</v>
      </c>
      <c r="AL27" t="s">
        <v>791</v>
      </c>
    </row>
    <row r="28" spans="1:38" ht="15.75" thickBot="1" x14ac:dyDescent="0.3">
      <c r="A28" s="4" t="s">
        <v>2</v>
      </c>
      <c r="B28" s="7" t="s">
        <v>15</v>
      </c>
      <c r="C28" s="5" t="s">
        <v>3</v>
      </c>
      <c r="D28" s="6" t="s">
        <v>9</v>
      </c>
      <c r="E28" s="6" t="str">
        <f t="shared" si="1"/>
        <v>Pesado de Passageiros M3: II : Gasóleo : E2</v>
      </c>
      <c r="F28" s="6" t="s">
        <v>55</v>
      </c>
      <c r="G28" s="6" t="s">
        <v>96</v>
      </c>
      <c r="H28" s="9">
        <f>IF(G28="MJ",INDEX(Tabela1[Energia (MJ/Qtd.)],MATCH(C28,Tabela1[Fuel],0)),IF(G28="GJ",INDEX(Tabela1[Energia (GJ/Qtd.)2],MATCH(C28,Tabela1[Fuel],0)),"XXX"))</f>
        <v>3.5868000000000004E-2</v>
      </c>
      <c r="I28" s="17">
        <f>O28*'PAG100 FE GE'!$E$2+P28*'PAG100 FE GE'!$E$3+Q28*'PAG100 FE GE'!$E$4</f>
        <v>-301.89999999999998</v>
      </c>
      <c r="J28" s="17">
        <f>O28*'PAG20 FE GE'!$E$2+P28*'PAG20 FE GE'!$E$3+Q28*'PAG20 FE GE'!$E$4</f>
        <v>-355.2</v>
      </c>
      <c r="K28" s="17">
        <f>O28*'PAG100 FE GE'!$D$2+P28*'PAG100 FE GE'!$D$3+Q28*'PAG100 FE GE'!$D$4</f>
        <v>-294</v>
      </c>
      <c r="L28" s="17">
        <f>O28*'PAG20 FE GE'!$D$2+P28*'PAG20 FE GE'!$D$3+Q28*'PAG20 FE GE'!$D$4</f>
        <v>-350</v>
      </c>
      <c r="M28" s="17">
        <f>O28*'PAG100 FE GE'!$C$2+P28*'PAG100 FE GE'!$C$3+Q28*'PAG100 FE GE'!$C$4</f>
        <v>-324</v>
      </c>
      <c r="N28" s="17">
        <f>O28*'PAG20 FE GE'!$C$2+P28*'PAG20 FE GE'!$C$3+Q28*'PAG20 FE GE'!$C$4</f>
        <v>-362</v>
      </c>
      <c r="O28" s="17">
        <v>-1</v>
      </c>
      <c r="P28" s="17">
        <v>-1</v>
      </c>
      <c r="Q28" s="17">
        <v>-1</v>
      </c>
      <c r="R28" s="17">
        <f>X28*'PAG100 FE GE'!$E$2+Y28*'PAG100 FE GE'!$E$3+Z28*'PAG100 FE GE'!$E$4</f>
        <v>-301.89999999999998</v>
      </c>
      <c r="S28" s="17">
        <f>X28*'PAG20 FE GE'!$E$2+Y28*'PAG20 FE GE'!$E$3+Z28*'PAG20 FE GE'!$E$4</f>
        <v>-355.2</v>
      </c>
      <c r="T28" s="17">
        <f>X28*'PAG100 FE GE'!$D$2+Y28*'PAG100 FE GE'!$D$3+Z28*'PAG100 FE GE'!$D$4</f>
        <v>-294</v>
      </c>
      <c r="U28" s="17">
        <f>X28*'PAG20 FE GE'!$D$2+Y28*'PAG20 FE GE'!$D$3+Z28*'PAG20 FE GE'!$D$4</f>
        <v>-350</v>
      </c>
      <c r="V28" s="17">
        <f>X28*'PAG100 FE GE'!$C$2+Y28*'PAG100 FE GE'!$C$3+Z28*'PAG100 FE GE'!$C$4</f>
        <v>-324</v>
      </c>
      <c r="W28" s="17">
        <f>X28*'PAG20 FE GE'!$C$2+Y28*'PAG20 FE GE'!$C$3+Z28*'PAG20 FE GE'!$C$4</f>
        <v>-362</v>
      </c>
      <c r="X28" s="17">
        <v>-1</v>
      </c>
      <c r="Y28" s="17">
        <v>-1</v>
      </c>
      <c r="Z28" s="17">
        <v>-1</v>
      </c>
      <c r="AA28" s="17">
        <f>AG28*'PAG100 FE GE'!$E$2+AH28*'PAG100 FE GE'!$E$3+AI28*'PAG100 FE GE'!$E$4</f>
        <v>-301.89999999999998</v>
      </c>
      <c r="AB28" s="17">
        <f>AG28*'PAG20 FE GE'!$E$2+AH28*'PAG20 FE GE'!$E$3+AI28*'PAG20 FE GE'!$E$4</f>
        <v>-355.2</v>
      </c>
      <c r="AC28" s="17">
        <f>AG28*'PAG100 FE GE'!$D$2+AH28*'PAG100 FE GE'!$D$3+AI28*'PAG100 FE GE'!$D$4</f>
        <v>-294</v>
      </c>
      <c r="AD28" s="17">
        <f>AG28*'PAG20 FE GE'!$D$2+AH28*'PAG20 FE GE'!$D$3+AI28*'PAG20 FE GE'!$D$4</f>
        <v>-350</v>
      </c>
      <c r="AE28" s="17">
        <f>AG28*'PAG100 FE GE'!$C$2+AH28*'PAG100 FE GE'!$C$3+AI28*'PAG100 FE GE'!$C$4</f>
        <v>-324</v>
      </c>
      <c r="AF28" s="17">
        <f>AG28*'PAG20 FE GE'!$C$2+AH28*'PAG20 FE GE'!$C$3+AI28*'PAG20 FE GE'!$C$4</f>
        <v>-362</v>
      </c>
      <c r="AG28" s="17">
        <v>-1</v>
      </c>
      <c r="AH28" s="17">
        <v>-1</v>
      </c>
      <c r="AI28" s="17">
        <v>-1</v>
      </c>
      <c r="AJ28" s="27">
        <v>-1</v>
      </c>
      <c r="AK28" t="s">
        <v>424</v>
      </c>
      <c r="AL28" t="s">
        <v>791</v>
      </c>
    </row>
    <row r="29" spans="1:38" ht="15.75" thickBot="1" x14ac:dyDescent="0.3">
      <c r="A29" s="4" t="s">
        <v>2</v>
      </c>
      <c r="B29" s="7" t="s">
        <v>15</v>
      </c>
      <c r="C29" s="5" t="s">
        <v>3</v>
      </c>
      <c r="D29" s="6" t="s">
        <v>10</v>
      </c>
      <c r="E29" s="6" t="str">
        <f t="shared" si="1"/>
        <v>Pesado de Passageiros M3: II : Gasóleo : E3</v>
      </c>
      <c r="F29" s="6" t="s">
        <v>55</v>
      </c>
      <c r="G29" s="6" t="s">
        <v>96</v>
      </c>
      <c r="H29" s="9">
        <f>IF(G29="MJ",INDEX(Tabela1[Energia (MJ/Qtd.)],MATCH(C29,Tabela1[Fuel],0)),IF(G29="GJ",INDEX(Tabela1[Energia (GJ/Qtd.)2],MATCH(C29,Tabela1[Fuel],0)),"XXX"))</f>
        <v>3.5868000000000004E-2</v>
      </c>
      <c r="I29" s="17">
        <f>O29*'PAG100 FE GE'!$E$2+P29*'PAG100 FE GE'!$E$3+Q29*'PAG100 FE GE'!$E$4</f>
        <v>-301.89999999999998</v>
      </c>
      <c r="J29" s="17">
        <f>O29*'PAG20 FE GE'!$E$2+P29*'PAG20 FE GE'!$E$3+Q29*'PAG20 FE GE'!$E$4</f>
        <v>-355.2</v>
      </c>
      <c r="K29" s="17">
        <f>O29*'PAG100 FE GE'!$D$2+P29*'PAG100 FE GE'!$D$3+Q29*'PAG100 FE GE'!$D$4</f>
        <v>-294</v>
      </c>
      <c r="L29" s="17">
        <f>O29*'PAG20 FE GE'!$D$2+P29*'PAG20 FE GE'!$D$3+Q29*'PAG20 FE GE'!$D$4</f>
        <v>-350</v>
      </c>
      <c r="M29" s="17">
        <f>O29*'PAG100 FE GE'!$C$2+P29*'PAG100 FE GE'!$C$3+Q29*'PAG100 FE GE'!$C$4</f>
        <v>-324</v>
      </c>
      <c r="N29" s="17">
        <f>O29*'PAG20 FE GE'!$C$2+P29*'PAG20 FE GE'!$C$3+Q29*'PAG20 FE GE'!$C$4</f>
        <v>-362</v>
      </c>
      <c r="O29" s="17">
        <v>-1</v>
      </c>
      <c r="P29" s="17">
        <v>-1</v>
      </c>
      <c r="Q29" s="17">
        <v>-1</v>
      </c>
      <c r="R29" s="17">
        <f>X29*'PAG100 FE GE'!$E$2+Y29*'PAG100 FE GE'!$E$3+Z29*'PAG100 FE GE'!$E$4</f>
        <v>-301.89999999999998</v>
      </c>
      <c r="S29" s="17">
        <f>X29*'PAG20 FE GE'!$E$2+Y29*'PAG20 FE GE'!$E$3+Z29*'PAG20 FE GE'!$E$4</f>
        <v>-355.2</v>
      </c>
      <c r="T29" s="17">
        <f>X29*'PAG100 FE GE'!$D$2+Y29*'PAG100 FE GE'!$D$3+Z29*'PAG100 FE GE'!$D$4</f>
        <v>-294</v>
      </c>
      <c r="U29" s="17">
        <f>X29*'PAG20 FE GE'!$D$2+Y29*'PAG20 FE GE'!$D$3+Z29*'PAG20 FE GE'!$D$4</f>
        <v>-350</v>
      </c>
      <c r="V29" s="17">
        <f>X29*'PAG100 FE GE'!$C$2+Y29*'PAG100 FE GE'!$C$3+Z29*'PAG100 FE GE'!$C$4</f>
        <v>-324</v>
      </c>
      <c r="W29" s="17">
        <f>X29*'PAG20 FE GE'!$C$2+Y29*'PAG20 FE GE'!$C$3+Z29*'PAG20 FE GE'!$C$4</f>
        <v>-362</v>
      </c>
      <c r="X29" s="17">
        <v>-1</v>
      </c>
      <c r="Y29" s="17">
        <v>-1</v>
      </c>
      <c r="Z29" s="17">
        <v>-1</v>
      </c>
      <c r="AA29" s="17">
        <f>AG29*'PAG100 FE GE'!$E$2+AH29*'PAG100 FE GE'!$E$3+AI29*'PAG100 FE GE'!$E$4</f>
        <v>-301.89999999999998</v>
      </c>
      <c r="AB29" s="17">
        <f>AG29*'PAG20 FE GE'!$E$2+AH29*'PAG20 FE GE'!$E$3+AI29*'PAG20 FE GE'!$E$4</f>
        <v>-355.2</v>
      </c>
      <c r="AC29" s="17">
        <f>AG29*'PAG100 FE GE'!$D$2+AH29*'PAG100 FE GE'!$D$3+AI29*'PAG100 FE GE'!$D$4</f>
        <v>-294</v>
      </c>
      <c r="AD29" s="17">
        <f>AG29*'PAG20 FE GE'!$D$2+AH29*'PAG20 FE GE'!$D$3+AI29*'PAG20 FE GE'!$D$4</f>
        <v>-350</v>
      </c>
      <c r="AE29" s="17">
        <f>AG29*'PAG100 FE GE'!$C$2+AH29*'PAG100 FE GE'!$C$3+AI29*'PAG100 FE GE'!$C$4</f>
        <v>-324</v>
      </c>
      <c r="AF29" s="17">
        <f>AG29*'PAG20 FE GE'!$C$2+AH29*'PAG20 FE GE'!$C$3+AI29*'PAG20 FE GE'!$C$4</f>
        <v>-362</v>
      </c>
      <c r="AG29" s="17">
        <v>-1</v>
      </c>
      <c r="AH29" s="17">
        <v>-1</v>
      </c>
      <c r="AI29" s="17">
        <v>-1</v>
      </c>
      <c r="AJ29" s="27">
        <v>-1</v>
      </c>
      <c r="AK29" t="s">
        <v>424</v>
      </c>
      <c r="AL29" t="s">
        <v>791</v>
      </c>
    </row>
    <row r="30" spans="1:38" ht="15.75" thickBot="1" x14ac:dyDescent="0.3">
      <c r="A30" s="4" t="s">
        <v>2</v>
      </c>
      <c r="B30" s="7" t="s">
        <v>15</v>
      </c>
      <c r="C30" s="5" t="s">
        <v>3</v>
      </c>
      <c r="D30" s="6" t="s">
        <v>4</v>
      </c>
      <c r="E30" s="6" t="str">
        <f t="shared" si="1"/>
        <v>Pesado de Passageiros M3: II : Gasóleo : E4</v>
      </c>
      <c r="F30" s="6" t="s">
        <v>55</v>
      </c>
      <c r="G30" s="6" t="s">
        <v>96</v>
      </c>
      <c r="H30" s="9">
        <f>IF(G30="MJ",INDEX(Tabela1[Energia (MJ/Qtd.)],MATCH(C30,Tabela1[Fuel],0)),IF(G30="GJ",INDEX(Tabela1[Energia (GJ/Qtd.)2],MATCH(C30,Tabela1[Fuel],0)),"XXX"))</f>
        <v>3.5868000000000004E-2</v>
      </c>
      <c r="I30" s="17">
        <f>O30*'PAG100 FE GE'!$E$2+P30*'PAG100 FE GE'!$E$3+Q30*'PAG100 FE GE'!$E$4</f>
        <v>-301.89999999999998</v>
      </c>
      <c r="J30" s="17">
        <f>O30*'PAG20 FE GE'!$E$2+P30*'PAG20 FE GE'!$E$3+Q30*'PAG20 FE GE'!$E$4</f>
        <v>-355.2</v>
      </c>
      <c r="K30" s="17">
        <f>O30*'PAG100 FE GE'!$D$2+P30*'PAG100 FE GE'!$D$3+Q30*'PAG100 FE GE'!$D$4</f>
        <v>-294</v>
      </c>
      <c r="L30" s="17">
        <f>O30*'PAG20 FE GE'!$D$2+P30*'PAG20 FE GE'!$D$3+Q30*'PAG20 FE GE'!$D$4</f>
        <v>-350</v>
      </c>
      <c r="M30" s="17">
        <f>O30*'PAG100 FE GE'!$C$2+P30*'PAG100 FE GE'!$C$3+Q30*'PAG100 FE GE'!$C$4</f>
        <v>-324</v>
      </c>
      <c r="N30" s="17">
        <f>O30*'PAG20 FE GE'!$C$2+P30*'PAG20 FE GE'!$C$3+Q30*'PAG20 FE GE'!$C$4</f>
        <v>-362</v>
      </c>
      <c r="O30" s="17">
        <v>-1</v>
      </c>
      <c r="P30" s="17">
        <v>-1</v>
      </c>
      <c r="Q30" s="17">
        <v>-1</v>
      </c>
      <c r="R30" s="17">
        <f>X30*'PAG100 FE GE'!$E$2+Y30*'PAG100 FE GE'!$E$3+Z30*'PAG100 FE GE'!$E$4</f>
        <v>-301.89999999999998</v>
      </c>
      <c r="S30" s="17">
        <f>X30*'PAG20 FE GE'!$E$2+Y30*'PAG20 FE GE'!$E$3+Z30*'PAG20 FE GE'!$E$4</f>
        <v>-355.2</v>
      </c>
      <c r="T30" s="17">
        <f>X30*'PAG100 FE GE'!$D$2+Y30*'PAG100 FE GE'!$D$3+Z30*'PAG100 FE GE'!$D$4</f>
        <v>-294</v>
      </c>
      <c r="U30" s="17">
        <f>X30*'PAG20 FE GE'!$D$2+Y30*'PAG20 FE GE'!$D$3+Z30*'PAG20 FE GE'!$D$4</f>
        <v>-350</v>
      </c>
      <c r="V30" s="17">
        <f>X30*'PAG100 FE GE'!$C$2+Y30*'PAG100 FE GE'!$C$3+Z30*'PAG100 FE GE'!$C$4</f>
        <v>-324</v>
      </c>
      <c r="W30" s="17">
        <f>X30*'PAG20 FE GE'!$C$2+Y30*'PAG20 FE GE'!$C$3+Z30*'PAG20 FE GE'!$C$4</f>
        <v>-362</v>
      </c>
      <c r="X30" s="17">
        <v>-1</v>
      </c>
      <c r="Y30" s="17">
        <v>-1</v>
      </c>
      <c r="Z30" s="17">
        <v>-1</v>
      </c>
      <c r="AA30" s="17">
        <f>AG30*'PAG100 FE GE'!$E$2+AH30*'PAG100 FE GE'!$E$3+AI30*'PAG100 FE GE'!$E$4</f>
        <v>-301.89999999999998</v>
      </c>
      <c r="AB30" s="17">
        <f>AG30*'PAG20 FE GE'!$E$2+AH30*'PAG20 FE GE'!$E$3+AI30*'PAG20 FE GE'!$E$4</f>
        <v>-355.2</v>
      </c>
      <c r="AC30" s="17">
        <f>AG30*'PAG100 FE GE'!$D$2+AH30*'PAG100 FE GE'!$D$3+AI30*'PAG100 FE GE'!$D$4</f>
        <v>-294</v>
      </c>
      <c r="AD30" s="17">
        <f>AG30*'PAG20 FE GE'!$D$2+AH30*'PAG20 FE GE'!$D$3+AI30*'PAG20 FE GE'!$D$4</f>
        <v>-350</v>
      </c>
      <c r="AE30" s="17">
        <f>AG30*'PAG100 FE GE'!$C$2+AH30*'PAG100 FE GE'!$C$3+AI30*'PAG100 FE GE'!$C$4</f>
        <v>-324</v>
      </c>
      <c r="AF30" s="17">
        <f>AG30*'PAG20 FE GE'!$C$2+AH30*'PAG20 FE GE'!$C$3+AI30*'PAG20 FE GE'!$C$4</f>
        <v>-362</v>
      </c>
      <c r="AG30" s="17">
        <v>-1</v>
      </c>
      <c r="AH30" s="17">
        <v>-1</v>
      </c>
      <c r="AI30" s="17">
        <v>-1</v>
      </c>
      <c r="AJ30" s="27">
        <v>-1</v>
      </c>
      <c r="AK30" t="s">
        <v>424</v>
      </c>
      <c r="AL30" t="s">
        <v>791</v>
      </c>
    </row>
    <row r="31" spans="1:38" ht="15.75" thickBot="1" x14ac:dyDescent="0.3">
      <c r="A31" s="4" t="s">
        <v>2</v>
      </c>
      <c r="B31" s="7" t="s">
        <v>15</v>
      </c>
      <c r="C31" s="5" t="s">
        <v>3</v>
      </c>
      <c r="D31" s="6" t="s">
        <v>5</v>
      </c>
      <c r="E31" s="6" t="str">
        <f t="shared" si="1"/>
        <v>Pesado de Passageiros M3: II : Gasóleo : E5</v>
      </c>
      <c r="F31" s="6" t="s">
        <v>55</v>
      </c>
      <c r="G31" s="6" t="s">
        <v>96</v>
      </c>
      <c r="H31" s="9">
        <f>IF(G31="MJ",INDEX(Tabela1[Energia (MJ/Qtd.)],MATCH(C31,Tabela1[Fuel],0)),IF(G31="GJ",INDEX(Tabela1[Energia (GJ/Qtd.)2],MATCH(C31,Tabela1[Fuel],0)),"XXX"))</f>
        <v>3.5868000000000004E-2</v>
      </c>
      <c r="I31" s="17">
        <f>O31*'PAG100 FE GE'!$E$2+P31*'PAG100 FE GE'!$E$3+Q31*'PAG100 FE GE'!$E$4</f>
        <v>-301.89999999999998</v>
      </c>
      <c r="J31" s="17">
        <f>O31*'PAG20 FE GE'!$E$2+P31*'PAG20 FE GE'!$E$3+Q31*'PAG20 FE GE'!$E$4</f>
        <v>-355.2</v>
      </c>
      <c r="K31" s="17">
        <f>O31*'PAG100 FE GE'!$D$2+P31*'PAG100 FE GE'!$D$3+Q31*'PAG100 FE GE'!$D$4</f>
        <v>-294</v>
      </c>
      <c r="L31" s="17">
        <f>O31*'PAG20 FE GE'!$D$2+P31*'PAG20 FE GE'!$D$3+Q31*'PAG20 FE GE'!$D$4</f>
        <v>-350</v>
      </c>
      <c r="M31" s="17">
        <f>O31*'PAG100 FE GE'!$C$2+P31*'PAG100 FE GE'!$C$3+Q31*'PAG100 FE GE'!$C$4</f>
        <v>-324</v>
      </c>
      <c r="N31" s="17">
        <f>O31*'PAG20 FE GE'!$C$2+P31*'PAG20 FE GE'!$C$3+Q31*'PAG20 FE GE'!$C$4</f>
        <v>-362</v>
      </c>
      <c r="O31" s="17">
        <v>-1</v>
      </c>
      <c r="P31" s="17">
        <v>-1</v>
      </c>
      <c r="Q31" s="17">
        <v>-1</v>
      </c>
      <c r="R31" s="17">
        <f>X31*'PAG100 FE GE'!$E$2+Y31*'PAG100 FE GE'!$E$3+Z31*'PAG100 FE GE'!$E$4</f>
        <v>-301.89999999999998</v>
      </c>
      <c r="S31" s="17">
        <f>X31*'PAG20 FE GE'!$E$2+Y31*'PAG20 FE GE'!$E$3+Z31*'PAG20 FE GE'!$E$4</f>
        <v>-355.2</v>
      </c>
      <c r="T31" s="17">
        <f>X31*'PAG100 FE GE'!$D$2+Y31*'PAG100 FE GE'!$D$3+Z31*'PAG100 FE GE'!$D$4</f>
        <v>-294</v>
      </c>
      <c r="U31" s="17">
        <f>X31*'PAG20 FE GE'!$D$2+Y31*'PAG20 FE GE'!$D$3+Z31*'PAG20 FE GE'!$D$4</f>
        <v>-350</v>
      </c>
      <c r="V31" s="17">
        <f>X31*'PAG100 FE GE'!$C$2+Y31*'PAG100 FE GE'!$C$3+Z31*'PAG100 FE GE'!$C$4</f>
        <v>-324</v>
      </c>
      <c r="W31" s="17">
        <f>X31*'PAG20 FE GE'!$C$2+Y31*'PAG20 FE GE'!$C$3+Z31*'PAG20 FE GE'!$C$4</f>
        <v>-362</v>
      </c>
      <c r="X31" s="17">
        <v>-1</v>
      </c>
      <c r="Y31" s="17">
        <v>-1</v>
      </c>
      <c r="Z31" s="17">
        <v>-1</v>
      </c>
      <c r="AA31" s="17">
        <f>AG31*'PAG100 FE GE'!$E$2+AH31*'PAG100 FE GE'!$E$3+AI31*'PAG100 FE GE'!$E$4</f>
        <v>-301.89999999999998</v>
      </c>
      <c r="AB31" s="17">
        <f>AG31*'PAG20 FE GE'!$E$2+AH31*'PAG20 FE GE'!$E$3+AI31*'PAG20 FE GE'!$E$4</f>
        <v>-355.2</v>
      </c>
      <c r="AC31" s="17">
        <f>AG31*'PAG100 FE GE'!$D$2+AH31*'PAG100 FE GE'!$D$3+AI31*'PAG100 FE GE'!$D$4</f>
        <v>-294</v>
      </c>
      <c r="AD31" s="17">
        <f>AG31*'PAG20 FE GE'!$D$2+AH31*'PAG20 FE GE'!$D$3+AI31*'PAG20 FE GE'!$D$4</f>
        <v>-350</v>
      </c>
      <c r="AE31" s="17">
        <f>AG31*'PAG100 FE GE'!$C$2+AH31*'PAG100 FE GE'!$C$3+AI31*'PAG100 FE GE'!$C$4</f>
        <v>-324</v>
      </c>
      <c r="AF31" s="17">
        <f>AG31*'PAG20 FE GE'!$C$2+AH31*'PAG20 FE GE'!$C$3+AI31*'PAG20 FE GE'!$C$4</f>
        <v>-362</v>
      </c>
      <c r="AG31" s="17">
        <v>-1</v>
      </c>
      <c r="AH31" s="17">
        <v>-1</v>
      </c>
      <c r="AI31" s="17">
        <v>-1</v>
      </c>
      <c r="AJ31" s="27">
        <v>-1</v>
      </c>
      <c r="AK31" t="s">
        <v>424</v>
      </c>
      <c r="AL31" t="s">
        <v>791</v>
      </c>
    </row>
    <row r="32" spans="1:38" ht="15.75" thickBot="1" x14ac:dyDescent="0.3">
      <c r="A32" s="4" t="s">
        <v>2</v>
      </c>
      <c r="B32" s="7" t="s">
        <v>15</v>
      </c>
      <c r="C32" s="5" t="s">
        <v>3</v>
      </c>
      <c r="D32" s="6" t="s">
        <v>6</v>
      </c>
      <c r="E32" s="6" t="str">
        <f t="shared" si="1"/>
        <v>Pesado de Passageiros M3: II : Gasóleo : E6</v>
      </c>
      <c r="F32" s="6" t="s">
        <v>55</v>
      </c>
      <c r="G32" s="6" t="s">
        <v>96</v>
      </c>
      <c r="H32" s="9">
        <f>IF(G32="MJ",INDEX(Tabela1[Energia (MJ/Qtd.)],MATCH(C32,Tabela1[Fuel],0)),IF(G32="GJ",INDEX(Tabela1[Energia (GJ/Qtd.)2],MATCH(C32,Tabela1[Fuel],0)),"XXX"))</f>
        <v>3.5868000000000004E-2</v>
      </c>
      <c r="I32" s="17">
        <f>O32*'PAG100 FE GE'!$E$2+P32*'PAG100 FE GE'!$E$3+Q32*'PAG100 FE GE'!$E$4</f>
        <v>-301.89999999999998</v>
      </c>
      <c r="J32" s="17">
        <f>O32*'PAG20 FE GE'!$E$2+P32*'PAG20 FE GE'!$E$3+Q32*'PAG20 FE GE'!$E$4</f>
        <v>-355.2</v>
      </c>
      <c r="K32" s="17">
        <f>O32*'PAG100 FE GE'!$D$2+P32*'PAG100 FE GE'!$D$3+Q32*'PAG100 FE GE'!$D$4</f>
        <v>-294</v>
      </c>
      <c r="L32" s="17">
        <f>O32*'PAG20 FE GE'!$D$2+P32*'PAG20 FE GE'!$D$3+Q32*'PAG20 FE GE'!$D$4</f>
        <v>-350</v>
      </c>
      <c r="M32" s="17">
        <f>O32*'PAG100 FE GE'!$C$2+P32*'PAG100 FE GE'!$C$3+Q32*'PAG100 FE GE'!$C$4</f>
        <v>-324</v>
      </c>
      <c r="N32" s="17">
        <f>O32*'PAG20 FE GE'!$C$2+P32*'PAG20 FE GE'!$C$3+Q32*'PAG20 FE GE'!$C$4</f>
        <v>-362</v>
      </c>
      <c r="O32" s="17">
        <v>-1</v>
      </c>
      <c r="P32" s="17">
        <v>-1</v>
      </c>
      <c r="Q32" s="17">
        <v>-1</v>
      </c>
      <c r="R32" s="17">
        <f>X32*'PAG100 FE GE'!$E$2+Y32*'PAG100 FE GE'!$E$3+Z32*'PAG100 FE GE'!$E$4</f>
        <v>-301.89999999999998</v>
      </c>
      <c r="S32" s="17">
        <f>X32*'PAG20 FE GE'!$E$2+Y32*'PAG20 FE GE'!$E$3+Z32*'PAG20 FE GE'!$E$4</f>
        <v>-355.2</v>
      </c>
      <c r="T32" s="17">
        <f>X32*'PAG100 FE GE'!$D$2+Y32*'PAG100 FE GE'!$D$3+Z32*'PAG100 FE GE'!$D$4</f>
        <v>-294</v>
      </c>
      <c r="U32" s="17">
        <f>X32*'PAG20 FE GE'!$D$2+Y32*'PAG20 FE GE'!$D$3+Z32*'PAG20 FE GE'!$D$4</f>
        <v>-350</v>
      </c>
      <c r="V32" s="17">
        <f>X32*'PAG100 FE GE'!$C$2+Y32*'PAG100 FE GE'!$C$3+Z32*'PAG100 FE GE'!$C$4</f>
        <v>-324</v>
      </c>
      <c r="W32" s="17">
        <f>X32*'PAG20 FE GE'!$C$2+Y32*'PAG20 FE GE'!$C$3+Z32*'PAG20 FE GE'!$C$4</f>
        <v>-362</v>
      </c>
      <c r="X32" s="17">
        <v>-1</v>
      </c>
      <c r="Y32" s="17">
        <v>-1</v>
      </c>
      <c r="Z32" s="17">
        <v>-1</v>
      </c>
      <c r="AA32" s="17">
        <f>AG32*'PAG100 FE GE'!$E$2+AH32*'PAG100 FE GE'!$E$3+AI32*'PAG100 FE GE'!$E$4</f>
        <v>-301.89999999999998</v>
      </c>
      <c r="AB32" s="17">
        <f>AG32*'PAG20 FE GE'!$E$2+AH32*'PAG20 FE GE'!$E$3+AI32*'PAG20 FE GE'!$E$4</f>
        <v>-355.2</v>
      </c>
      <c r="AC32" s="17">
        <f>AG32*'PAG100 FE GE'!$D$2+AH32*'PAG100 FE GE'!$D$3+AI32*'PAG100 FE GE'!$D$4</f>
        <v>-294</v>
      </c>
      <c r="AD32" s="17">
        <f>AG32*'PAG20 FE GE'!$D$2+AH32*'PAG20 FE GE'!$D$3+AI32*'PAG20 FE GE'!$D$4</f>
        <v>-350</v>
      </c>
      <c r="AE32" s="17">
        <f>AG32*'PAG100 FE GE'!$C$2+AH32*'PAG100 FE GE'!$C$3+AI32*'PAG100 FE GE'!$C$4</f>
        <v>-324</v>
      </c>
      <c r="AF32" s="17">
        <f>AG32*'PAG20 FE GE'!$C$2+AH32*'PAG20 FE GE'!$C$3+AI32*'PAG20 FE GE'!$C$4</f>
        <v>-362</v>
      </c>
      <c r="AG32" s="17">
        <v>-1</v>
      </c>
      <c r="AH32" s="17">
        <v>-1</v>
      </c>
      <c r="AI32" s="17">
        <v>-1</v>
      </c>
      <c r="AJ32" s="27">
        <v>-1</v>
      </c>
      <c r="AK32" t="s">
        <v>424</v>
      </c>
      <c r="AL32" t="s">
        <v>791</v>
      </c>
    </row>
    <row r="33" spans="1:38" ht="15.75" thickBot="1" x14ac:dyDescent="0.3">
      <c r="A33" s="4" t="s">
        <v>2</v>
      </c>
      <c r="B33" s="7" t="s">
        <v>15</v>
      </c>
      <c r="C33" s="5" t="s">
        <v>3</v>
      </c>
      <c r="D33" s="6" t="s">
        <v>81</v>
      </c>
      <c r="E33" s="6" t="str">
        <f t="shared" si="1"/>
        <v>Pesado de Passageiros M3: II : Gasóleo : E6 D/E E7</v>
      </c>
      <c r="F33" s="6" t="s">
        <v>55</v>
      </c>
      <c r="G33" s="6" t="s">
        <v>96</v>
      </c>
      <c r="H33" s="9">
        <f>IF(G33="MJ",INDEX(Tabela1[Energia (MJ/Qtd.)],MATCH(C33,Tabela1[Fuel],0)),IF(G33="GJ",INDEX(Tabela1[Energia (GJ/Qtd.)2],MATCH(C33,Tabela1[Fuel],0)),"XXX"))</f>
        <v>3.5868000000000004E-2</v>
      </c>
      <c r="I33" s="17">
        <f>O33*'PAG100 FE GE'!$E$2+P33*'PAG100 FE GE'!$E$3+Q33*'PAG100 FE GE'!$E$4</f>
        <v>-301.89999999999998</v>
      </c>
      <c r="J33" s="17">
        <f>O33*'PAG20 FE GE'!$E$2+P33*'PAG20 FE GE'!$E$3+Q33*'PAG20 FE GE'!$E$4</f>
        <v>-355.2</v>
      </c>
      <c r="K33" s="17">
        <f>O33*'PAG100 FE GE'!$D$2+P33*'PAG100 FE GE'!$D$3+Q33*'PAG100 FE GE'!$D$4</f>
        <v>-294</v>
      </c>
      <c r="L33" s="17">
        <f>O33*'PAG20 FE GE'!$D$2+P33*'PAG20 FE GE'!$D$3+Q33*'PAG20 FE GE'!$D$4</f>
        <v>-350</v>
      </c>
      <c r="M33" s="17">
        <f>O33*'PAG100 FE GE'!$C$2+P33*'PAG100 FE GE'!$C$3+Q33*'PAG100 FE GE'!$C$4</f>
        <v>-324</v>
      </c>
      <c r="N33" s="17">
        <f>O33*'PAG20 FE GE'!$C$2+P33*'PAG20 FE GE'!$C$3+Q33*'PAG20 FE GE'!$C$4</f>
        <v>-362</v>
      </c>
      <c r="O33" s="17">
        <v>-1</v>
      </c>
      <c r="P33" s="17">
        <v>-1</v>
      </c>
      <c r="Q33" s="17">
        <v>-1</v>
      </c>
      <c r="R33" s="17">
        <f>X33*'PAG100 FE GE'!$E$2+Y33*'PAG100 FE GE'!$E$3+Z33*'PAG100 FE GE'!$E$4</f>
        <v>-301.89999999999998</v>
      </c>
      <c r="S33" s="17">
        <f>X33*'PAG20 FE GE'!$E$2+Y33*'PAG20 FE GE'!$E$3+Z33*'PAG20 FE GE'!$E$4</f>
        <v>-355.2</v>
      </c>
      <c r="T33" s="17">
        <f>X33*'PAG100 FE GE'!$D$2+Y33*'PAG100 FE GE'!$D$3+Z33*'PAG100 FE GE'!$D$4</f>
        <v>-294</v>
      </c>
      <c r="U33" s="17">
        <f>X33*'PAG20 FE GE'!$D$2+Y33*'PAG20 FE GE'!$D$3+Z33*'PAG20 FE GE'!$D$4</f>
        <v>-350</v>
      </c>
      <c r="V33" s="17">
        <f>X33*'PAG100 FE GE'!$C$2+Y33*'PAG100 FE GE'!$C$3+Z33*'PAG100 FE GE'!$C$4</f>
        <v>-324</v>
      </c>
      <c r="W33" s="17">
        <f>X33*'PAG20 FE GE'!$C$2+Y33*'PAG20 FE GE'!$C$3+Z33*'PAG20 FE GE'!$C$4</f>
        <v>-362</v>
      </c>
      <c r="X33" s="17">
        <v>-1</v>
      </c>
      <c r="Y33" s="17">
        <v>-1</v>
      </c>
      <c r="Z33" s="17">
        <v>-1</v>
      </c>
      <c r="AA33" s="17">
        <f>AG33*'PAG100 FE GE'!$E$2+AH33*'PAG100 FE GE'!$E$3+AI33*'PAG100 FE GE'!$E$4</f>
        <v>-301.89999999999998</v>
      </c>
      <c r="AB33" s="17">
        <f>AG33*'PAG20 FE GE'!$E$2+AH33*'PAG20 FE GE'!$E$3+AI33*'PAG20 FE GE'!$E$4</f>
        <v>-355.2</v>
      </c>
      <c r="AC33" s="17">
        <f>AG33*'PAG100 FE GE'!$D$2+AH33*'PAG100 FE GE'!$D$3+AI33*'PAG100 FE GE'!$D$4</f>
        <v>-294</v>
      </c>
      <c r="AD33" s="17">
        <f>AG33*'PAG20 FE GE'!$D$2+AH33*'PAG20 FE GE'!$D$3+AI33*'PAG20 FE GE'!$D$4</f>
        <v>-350</v>
      </c>
      <c r="AE33" s="17">
        <f>AG33*'PAG100 FE GE'!$C$2+AH33*'PAG100 FE GE'!$C$3+AI33*'PAG100 FE GE'!$C$4</f>
        <v>-324</v>
      </c>
      <c r="AF33" s="17">
        <f>AG33*'PAG20 FE GE'!$C$2+AH33*'PAG20 FE GE'!$C$3+AI33*'PAG20 FE GE'!$C$4</f>
        <v>-362</v>
      </c>
      <c r="AG33" s="17">
        <v>-1</v>
      </c>
      <c r="AH33" s="17">
        <v>-1</v>
      </c>
      <c r="AI33" s="17">
        <v>-1</v>
      </c>
      <c r="AJ33" s="27">
        <v>-1</v>
      </c>
      <c r="AK33" t="s">
        <v>424</v>
      </c>
      <c r="AL33" t="s">
        <v>791</v>
      </c>
    </row>
    <row r="34" spans="1:38" ht="15.75" thickBot="1" x14ac:dyDescent="0.3">
      <c r="A34" s="4" t="s">
        <v>2</v>
      </c>
      <c r="B34" s="7" t="s">
        <v>15</v>
      </c>
      <c r="C34" s="5" t="s">
        <v>92</v>
      </c>
      <c r="D34" s="6" t="s">
        <v>8</v>
      </c>
      <c r="E34" s="6" t="str">
        <f t="shared" si="1"/>
        <v>Pesado de Passageiros M3: II : GNC : E0</v>
      </c>
      <c r="F34" s="6" t="s">
        <v>56</v>
      </c>
      <c r="G34" s="6" t="s">
        <v>96</v>
      </c>
      <c r="H34" s="9">
        <f>IF(G34="MJ",INDEX(Tabela1[Energia (MJ/Qtd.)],MATCH(C34,Tabela1[Fuel],0)),IF(G34="GJ",INDEX(Tabela1[Energia (GJ/Qtd.)2],MATCH(C34,Tabela1[Fuel],0)),"XXX"))</f>
        <v>3.7521600000000002E-2</v>
      </c>
      <c r="I34" s="17">
        <f>O34*'PAG100 FE GE'!$E$2+P34*'PAG100 FE GE'!$E$3+Q34*'PAG100 FE GE'!$E$4</f>
        <v>-301.89999999999998</v>
      </c>
      <c r="J34" s="17">
        <f>O34*'PAG20 FE GE'!$E$2+P34*'PAG20 FE GE'!$E$3+Q34*'PAG20 FE GE'!$E$4</f>
        <v>-355.2</v>
      </c>
      <c r="K34" s="17">
        <f>O34*'PAG100 FE GE'!$D$2+P34*'PAG100 FE GE'!$D$3+Q34*'PAG100 FE GE'!$D$4</f>
        <v>-294</v>
      </c>
      <c r="L34" s="17">
        <f>O34*'PAG20 FE GE'!$D$2+P34*'PAG20 FE GE'!$D$3+Q34*'PAG20 FE GE'!$D$4</f>
        <v>-350</v>
      </c>
      <c r="M34" s="17">
        <f>O34*'PAG100 FE GE'!$C$2+P34*'PAG100 FE GE'!$C$3+Q34*'PAG100 FE GE'!$C$4</f>
        <v>-324</v>
      </c>
      <c r="N34" s="17">
        <f>O34*'PAG20 FE GE'!$C$2+P34*'PAG20 FE GE'!$C$3+Q34*'PAG20 FE GE'!$C$4</f>
        <v>-362</v>
      </c>
      <c r="O34" s="17">
        <v>-1</v>
      </c>
      <c r="P34" s="17">
        <v>-1</v>
      </c>
      <c r="Q34" s="17">
        <v>-1</v>
      </c>
      <c r="R34" s="17">
        <f>X34*'PAG100 FE GE'!$E$2+Y34*'PAG100 FE GE'!$E$3+Z34*'PAG100 FE GE'!$E$4</f>
        <v>-301.89999999999998</v>
      </c>
      <c r="S34" s="17">
        <f>X34*'PAG20 FE GE'!$E$2+Y34*'PAG20 FE GE'!$E$3+Z34*'PAG20 FE GE'!$E$4</f>
        <v>-355.2</v>
      </c>
      <c r="T34" s="17">
        <f>X34*'PAG100 FE GE'!$D$2+Y34*'PAG100 FE GE'!$D$3+Z34*'PAG100 FE GE'!$D$4</f>
        <v>-294</v>
      </c>
      <c r="U34" s="17">
        <f>X34*'PAG20 FE GE'!$D$2+Y34*'PAG20 FE GE'!$D$3+Z34*'PAG20 FE GE'!$D$4</f>
        <v>-350</v>
      </c>
      <c r="V34" s="17">
        <f>X34*'PAG100 FE GE'!$C$2+Y34*'PAG100 FE GE'!$C$3+Z34*'PAG100 FE GE'!$C$4</f>
        <v>-324</v>
      </c>
      <c r="W34" s="17">
        <f>X34*'PAG20 FE GE'!$C$2+Y34*'PAG20 FE GE'!$C$3+Z34*'PAG20 FE GE'!$C$4</f>
        <v>-362</v>
      </c>
      <c r="X34" s="17">
        <v>-1</v>
      </c>
      <c r="Y34" s="17">
        <v>-1</v>
      </c>
      <c r="Z34" s="17">
        <v>-1</v>
      </c>
      <c r="AA34" s="17">
        <f>AG34*'PAG100 FE GE'!$E$2+AH34*'PAG100 FE GE'!$E$3+AI34*'PAG100 FE GE'!$E$4</f>
        <v>-301.89999999999998</v>
      </c>
      <c r="AB34" s="17">
        <f>AG34*'PAG20 FE GE'!$E$2+AH34*'PAG20 FE GE'!$E$3+AI34*'PAG20 FE GE'!$E$4</f>
        <v>-355.2</v>
      </c>
      <c r="AC34" s="17">
        <f>AG34*'PAG100 FE GE'!$D$2+AH34*'PAG100 FE GE'!$D$3+AI34*'PAG100 FE GE'!$D$4</f>
        <v>-294</v>
      </c>
      <c r="AD34" s="17">
        <f>AG34*'PAG20 FE GE'!$D$2+AH34*'PAG20 FE GE'!$D$3+AI34*'PAG20 FE GE'!$D$4</f>
        <v>-350</v>
      </c>
      <c r="AE34" s="17">
        <f>AG34*'PAG100 FE GE'!$C$2+AH34*'PAG100 FE GE'!$C$3+AI34*'PAG100 FE GE'!$C$4</f>
        <v>-324</v>
      </c>
      <c r="AF34" s="17">
        <f>AG34*'PAG20 FE GE'!$C$2+AH34*'PAG20 FE GE'!$C$3+AI34*'PAG20 FE GE'!$C$4</f>
        <v>-362</v>
      </c>
      <c r="AG34" s="17">
        <v>-1</v>
      </c>
      <c r="AH34" s="17">
        <v>-1</v>
      </c>
      <c r="AI34" s="17">
        <v>-1</v>
      </c>
      <c r="AJ34" s="27">
        <v>-1</v>
      </c>
      <c r="AK34" t="s">
        <v>424</v>
      </c>
      <c r="AL34" t="s">
        <v>791</v>
      </c>
    </row>
    <row r="35" spans="1:38" ht="15.75" thickBot="1" x14ac:dyDescent="0.3">
      <c r="A35" s="4" t="s">
        <v>2</v>
      </c>
      <c r="B35" s="7" t="s">
        <v>15</v>
      </c>
      <c r="C35" s="5" t="s">
        <v>92</v>
      </c>
      <c r="D35" s="6" t="s">
        <v>7</v>
      </c>
      <c r="E35" s="6" t="str">
        <f t="shared" si="1"/>
        <v>Pesado de Passageiros M3: II : GNC : E1</v>
      </c>
      <c r="F35" s="6" t="s">
        <v>56</v>
      </c>
      <c r="G35" s="6" t="s">
        <v>96</v>
      </c>
      <c r="H35" s="9">
        <f>IF(G35="MJ",INDEX(Tabela1[Energia (MJ/Qtd.)],MATCH(C35,Tabela1[Fuel],0)),IF(G35="GJ",INDEX(Tabela1[Energia (GJ/Qtd.)2],MATCH(C35,Tabela1[Fuel],0)),"XXX"))</f>
        <v>3.7521600000000002E-2</v>
      </c>
      <c r="I35" s="17">
        <f>O35*'PAG100 FE GE'!$E$2+P35*'PAG100 FE GE'!$E$3+Q35*'PAG100 FE GE'!$E$4</f>
        <v>-301.89999999999998</v>
      </c>
      <c r="J35" s="17">
        <f>O35*'PAG20 FE GE'!$E$2+P35*'PAG20 FE GE'!$E$3+Q35*'PAG20 FE GE'!$E$4</f>
        <v>-355.2</v>
      </c>
      <c r="K35" s="17">
        <f>O35*'PAG100 FE GE'!$D$2+P35*'PAG100 FE GE'!$D$3+Q35*'PAG100 FE GE'!$D$4</f>
        <v>-294</v>
      </c>
      <c r="L35" s="17">
        <f>O35*'PAG20 FE GE'!$D$2+P35*'PAG20 FE GE'!$D$3+Q35*'PAG20 FE GE'!$D$4</f>
        <v>-350</v>
      </c>
      <c r="M35" s="17">
        <f>O35*'PAG100 FE GE'!$C$2+P35*'PAG100 FE GE'!$C$3+Q35*'PAG100 FE GE'!$C$4</f>
        <v>-324</v>
      </c>
      <c r="N35" s="17">
        <f>O35*'PAG20 FE GE'!$C$2+P35*'PAG20 FE GE'!$C$3+Q35*'PAG20 FE GE'!$C$4</f>
        <v>-362</v>
      </c>
      <c r="O35" s="17">
        <v>-1</v>
      </c>
      <c r="P35" s="17">
        <v>-1</v>
      </c>
      <c r="Q35" s="17">
        <v>-1</v>
      </c>
      <c r="R35" s="17">
        <f>X35*'PAG100 FE GE'!$E$2+Y35*'PAG100 FE GE'!$E$3+Z35*'PAG100 FE GE'!$E$4</f>
        <v>-301.89999999999998</v>
      </c>
      <c r="S35" s="17">
        <f>X35*'PAG20 FE GE'!$E$2+Y35*'PAG20 FE GE'!$E$3+Z35*'PAG20 FE GE'!$E$4</f>
        <v>-355.2</v>
      </c>
      <c r="T35" s="17">
        <f>X35*'PAG100 FE GE'!$D$2+Y35*'PAG100 FE GE'!$D$3+Z35*'PAG100 FE GE'!$D$4</f>
        <v>-294</v>
      </c>
      <c r="U35" s="17">
        <f>X35*'PAG20 FE GE'!$D$2+Y35*'PAG20 FE GE'!$D$3+Z35*'PAG20 FE GE'!$D$4</f>
        <v>-350</v>
      </c>
      <c r="V35" s="17">
        <f>X35*'PAG100 FE GE'!$C$2+Y35*'PAG100 FE GE'!$C$3+Z35*'PAG100 FE GE'!$C$4</f>
        <v>-324</v>
      </c>
      <c r="W35" s="17">
        <f>X35*'PAG20 FE GE'!$C$2+Y35*'PAG20 FE GE'!$C$3+Z35*'PAG20 FE GE'!$C$4</f>
        <v>-362</v>
      </c>
      <c r="X35" s="17">
        <v>-1</v>
      </c>
      <c r="Y35" s="17">
        <v>-1</v>
      </c>
      <c r="Z35" s="17">
        <v>-1</v>
      </c>
      <c r="AA35" s="17">
        <f>AG35*'PAG100 FE GE'!$E$2+AH35*'PAG100 FE GE'!$E$3+AI35*'PAG100 FE GE'!$E$4</f>
        <v>-301.89999999999998</v>
      </c>
      <c r="AB35" s="17">
        <f>AG35*'PAG20 FE GE'!$E$2+AH35*'PAG20 FE GE'!$E$3+AI35*'PAG20 FE GE'!$E$4</f>
        <v>-355.2</v>
      </c>
      <c r="AC35" s="17">
        <f>AG35*'PAG100 FE GE'!$D$2+AH35*'PAG100 FE GE'!$D$3+AI35*'PAG100 FE GE'!$D$4</f>
        <v>-294</v>
      </c>
      <c r="AD35" s="17">
        <f>AG35*'PAG20 FE GE'!$D$2+AH35*'PAG20 FE GE'!$D$3+AI35*'PAG20 FE GE'!$D$4</f>
        <v>-350</v>
      </c>
      <c r="AE35" s="17">
        <f>AG35*'PAG100 FE GE'!$C$2+AH35*'PAG100 FE GE'!$C$3+AI35*'PAG100 FE GE'!$C$4</f>
        <v>-324</v>
      </c>
      <c r="AF35" s="17">
        <f>AG35*'PAG20 FE GE'!$C$2+AH35*'PAG20 FE GE'!$C$3+AI35*'PAG20 FE GE'!$C$4</f>
        <v>-362</v>
      </c>
      <c r="AG35" s="17">
        <v>-1</v>
      </c>
      <c r="AH35" s="17">
        <v>-1</v>
      </c>
      <c r="AI35" s="17">
        <v>-1</v>
      </c>
      <c r="AJ35" s="27">
        <v>-1</v>
      </c>
      <c r="AK35" t="s">
        <v>424</v>
      </c>
      <c r="AL35" t="s">
        <v>791</v>
      </c>
    </row>
    <row r="36" spans="1:38" ht="15.75" thickBot="1" x14ac:dyDescent="0.3">
      <c r="A36" s="4" t="s">
        <v>2</v>
      </c>
      <c r="B36" s="7" t="s">
        <v>15</v>
      </c>
      <c r="C36" s="5" t="s">
        <v>92</v>
      </c>
      <c r="D36" s="6" t="s">
        <v>9</v>
      </c>
      <c r="E36" s="6" t="str">
        <f t="shared" si="1"/>
        <v>Pesado de Passageiros M3: II : GNC : E2</v>
      </c>
      <c r="F36" s="6" t="s">
        <v>56</v>
      </c>
      <c r="G36" s="6" t="s">
        <v>96</v>
      </c>
      <c r="H36" s="9">
        <f>IF(G36="MJ",INDEX(Tabela1[Energia (MJ/Qtd.)],MATCH(C36,Tabela1[Fuel],0)),IF(G36="GJ",INDEX(Tabela1[Energia (GJ/Qtd.)2],MATCH(C36,Tabela1[Fuel],0)),"XXX"))</f>
        <v>3.7521600000000002E-2</v>
      </c>
      <c r="I36" s="17">
        <f>O36*'PAG100 FE GE'!$E$2+P36*'PAG100 FE GE'!$E$3+Q36*'PAG100 FE GE'!$E$4</f>
        <v>-301.89999999999998</v>
      </c>
      <c r="J36" s="17">
        <f>O36*'PAG20 FE GE'!$E$2+P36*'PAG20 FE GE'!$E$3+Q36*'PAG20 FE GE'!$E$4</f>
        <v>-355.2</v>
      </c>
      <c r="K36" s="17">
        <f>O36*'PAG100 FE GE'!$D$2+P36*'PAG100 FE GE'!$D$3+Q36*'PAG100 FE GE'!$D$4</f>
        <v>-294</v>
      </c>
      <c r="L36" s="17">
        <f>O36*'PAG20 FE GE'!$D$2+P36*'PAG20 FE GE'!$D$3+Q36*'PAG20 FE GE'!$D$4</f>
        <v>-350</v>
      </c>
      <c r="M36" s="17">
        <f>O36*'PAG100 FE GE'!$C$2+P36*'PAG100 FE GE'!$C$3+Q36*'PAG100 FE GE'!$C$4</f>
        <v>-324</v>
      </c>
      <c r="N36" s="17">
        <f>O36*'PAG20 FE GE'!$C$2+P36*'PAG20 FE GE'!$C$3+Q36*'PAG20 FE GE'!$C$4</f>
        <v>-362</v>
      </c>
      <c r="O36" s="17">
        <v>-1</v>
      </c>
      <c r="P36" s="17">
        <v>-1</v>
      </c>
      <c r="Q36" s="17">
        <v>-1</v>
      </c>
      <c r="R36" s="17">
        <f>X36*'PAG100 FE GE'!$E$2+Y36*'PAG100 FE GE'!$E$3+Z36*'PAG100 FE GE'!$E$4</f>
        <v>-301.89999999999998</v>
      </c>
      <c r="S36" s="17">
        <f>X36*'PAG20 FE GE'!$E$2+Y36*'PAG20 FE GE'!$E$3+Z36*'PAG20 FE GE'!$E$4</f>
        <v>-355.2</v>
      </c>
      <c r="T36" s="17">
        <f>X36*'PAG100 FE GE'!$D$2+Y36*'PAG100 FE GE'!$D$3+Z36*'PAG100 FE GE'!$D$4</f>
        <v>-294</v>
      </c>
      <c r="U36" s="17">
        <f>X36*'PAG20 FE GE'!$D$2+Y36*'PAG20 FE GE'!$D$3+Z36*'PAG20 FE GE'!$D$4</f>
        <v>-350</v>
      </c>
      <c r="V36" s="17">
        <f>X36*'PAG100 FE GE'!$C$2+Y36*'PAG100 FE GE'!$C$3+Z36*'PAG100 FE GE'!$C$4</f>
        <v>-324</v>
      </c>
      <c r="W36" s="17">
        <f>X36*'PAG20 FE GE'!$C$2+Y36*'PAG20 FE GE'!$C$3+Z36*'PAG20 FE GE'!$C$4</f>
        <v>-362</v>
      </c>
      <c r="X36" s="17">
        <v>-1</v>
      </c>
      <c r="Y36" s="17">
        <v>-1</v>
      </c>
      <c r="Z36" s="17">
        <v>-1</v>
      </c>
      <c r="AA36" s="17">
        <f>AG36*'PAG100 FE GE'!$E$2+AH36*'PAG100 FE GE'!$E$3+AI36*'PAG100 FE GE'!$E$4</f>
        <v>-301.89999999999998</v>
      </c>
      <c r="AB36" s="17">
        <f>AG36*'PAG20 FE GE'!$E$2+AH36*'PAG20 FE GE'!$E$3+AI36*'PAG20 FE GE'!$E$4</f>
        <v>-355.2</v>
      </c>
      <c r="AC36" s="17">
        <f>AG36*'PAG100 FE GE'!$D$2+AH36*'PAG100 FE GE'!$D$3+AI36*'PAG100 FE GE'!$D$4</f>
        <v>-294</v>
      </c>
      <c r="AD36" s="17">
        <f>AG36*'PAG20 FE GE'!$D$2+AH36*'PAG20 FE GE'!$D$3+AI36*'PAG20 FE GE'!$D$4</f>
        <v>-350</v>
      </c>
      <c r="AE36" s="17">
        <f>AG36*'PAG100 FE GE'!$C$2+AH36*'PAG100 FE GE'!$C$3+AI36*'PAG100 FE GE'!$C$4</f>
        <v>-324</v>
      </c>
      <c r="AF36" s="17">
        <f>AG36*'PAG20 FE GE'!$C$2+AH36*'PAG20 FE GE'!$C$3+AI36*'PAG20 FE GE'!$C$4</f>
        <v>-362</v>
      </c>
      <c r="AG36" s="17">
        <v>-1</v>
      </c>
      <c r="AH36" s="17">
        <v>-1</v>
      </c>
      <c r="AI36" s="17">
        <v>-1</v>
      </c>
      <c r="AJ36" s="27">
        <v>-1</v>
      </c>
      <c r="AK36" t="s">
        <v>424</v>
      </c>
      <c r="AL36" t="s">
        <v>791</v>
      </c>
    </row>
    <row r="37" spans="1:38" ht="15.75" thickBot="1" x14ac:dyDescent="0.3">
      <c r="A37" s="4" t="s">
        <v>2</v>
      </c>
      <c r="B37" s="7" t="s">
        <v>15</v>
      </c>
      <c r="C37" s="5" t="s">
        <v>92</v>
      </c>
      <c r="D37" s="6" t="s">
        <v>10</v>
      </c>
      <c r="E37" s="6" t="str">
        <f t="shared" si="1"/>
        <v>Pesado de Passageiros M3: II : GNC : E3</v>
      </c>
      <c r="F37" s="6" t="s">
        <v>56</v>
      </c>
      <c r="G37" s="6" t="s">
        <v>96</v>
      </c>
      <c r="H37" s="9">
        <f>IF(G37="MJ",INDEX(Tabela1[Energia (MJ/Qtd.)],MATCH(C37,Tabela1[Fuel],0)),IF(G37="GJ",INDEX(Tabela1[Energia (GJ/Qtd.)2],MATCH(C37,Tabela1[Fuel],0)),"XXX"))</f>
        <v>3.7521600000000002E-2</v>
      </c>
      <c r="I37" s="17">
        <f>O37*'PAG100 FE GE'!$E$2+P37*'PAG100 FE GE'!$E$3+Q37*'PAG100 FE GE'!$E$4</f>
        <v>-301.89999999999998</v>
      </c>
      <c r="J37" s="17">
        <f>O37*'PAG20 FE GE'!$E$2+P37*'PAG20 FE GE'!$E$3+Q37*'PAG20 FE GE'!$E$4</f>
        <v>-355.2</v>
      </c>
      <c r="K37" s="17">
        <f>O37*'PAG100 FE GE'!$D$2+P37*'PAG100 FE GE'!$D$3+Q37*'PAG100 FE GE'!$D$4</f>
        <v>-294</v>
      </c>
      <c r="L37" s="17">
        <f>O37*'PAG20 FE GE'!$D$2+P37*'PAG20 FE GE'!$D$3+Q37*'PAG20 FE GE'!$D$4</f>
        <v>-350</v>
      </c>
      <c r="M37" s="17">
        <f>O37*'PAG100 FE GE'!$C$2+P37*'PAG100 FE GE'!$C$3+Q37*'PAG100 FE GE'!$C$4</f>
        <v>-324</v>
      </c>
      <c r="N37" s="17">
        <f>O37*'PAG20 FE GE'!$C$2+P37*'PAG20 FE GE'!$C$3+Q37*'PAG20 FE GE'!$C$4</f>
        <v>-362</v>
      </c>
      <c r="O37" s="17">
        <v>-1</v>
      </c>
      <c r="P37" s="17">
        <v>-1</v>
      </c>
      <c r="Q37" s="17">
        <v>-1</v>
      </c>
      <c r="R37" s="17">
        <f>X37*'PAG100 FE GE'!$E$2+Y37*'PAG100 FE GE'!$E$3+Z37*'PAG100 FE GE'!$E$4</f>
        <v>-301.89999999999998</v>
      </c>
      <c r="S37" s="17">
        <f>X37*'PAG20 FE GE'!$E$2+Y37*'PAG20 FE GE'!$E$3+Z37*'PAG20 FE GE'!$E$4</f>
        <v>-355.2</v>
      </c>
      <c r="T37" s="17">
        <f>X37*'PAG100 FE GE'!$D$2+Y37*'PAG100 FE GE'!$D$3+Z37*'PAG100 FE GE'!$D$4</f>
        <v>-294</v>
      </c>
      <c r="U37" s="17">
        <f>X37*'PAG20 FE GE'!$D$2+Y37*'PAG20 FE GE'!$D$3+Z37*'PAG20 FE GE'!$D$4</f>
        <v>-350</v>
      </c>
      <c r="V37" s="17">
        <f>X37*'PAG100 FE GE'!$C$2+Y37*'PAG100 FE GE'!$C$3+Z37*'PAG100 FE GE'!$C$4</f>
        <v>-324</v>
      </c>
      <c r="W37" s="17">
        <f>X37*'PAG20 FE GE'!$C$2+Y37*'PAG20 FE GE'!$C$3+Z37*'PAG20 FE GE'!$C$4</f>
        <v>-362</v>
      </c>
      <c r="X37" s="17">
        <v>-1</v>
      </c>
      <c r="Y37" s="17">
        <v>-1</v>
      </c>
      <c r="Z37" s="17">
        <v>-1</v>
      </c>
      <c r="AA37" s="17">
        <f>AG37*'PAG100 FE GE'!$E$2+AH37*'PAG100 FE GE'!$E$3+AI37*'PAG100 FE GE'!$E$4</f>
        <v>-301.89999999999998</v>
      </c>
      <c r="AB37" s="17">
        <f>AG37*'PAG20 FE GE'!$E$2+AH37*'PAG20 FE GE'!$E$3+AI37*'PAG20 FE GE'!$E$4</f>
        <v>-355.2</v>
      </c>
      <c r="AC37" s="17">
        <f>AG37*'PAG100 FE GE'!$D$2+AH37*'PAG100 FE GE'!$D$3+AI37*'PAG100 FE GE'!$D$4</f>
        <v>-294</v>
      </c>
      <c r="AD37" s="17">
        <f>AG37*'PAG20 FE GE'!$D$2+AH37*'PAG20 FE GE'!$D$3+AI37*'PAG20 FE GE'!$D$4</f>
        <v>-350</v>
      </c>
      <c r="AE37" s="17">
        <f>AG37*'PAG100 FE GE'!$C$2+AH37*'PAG100 FE GE'!$C$3+AI37*'PAG100 FE GE'!$C$4</f>
        <v>-324</v>
      </c>
      <c r="AF37" s="17">
        <f>AG37*'PAG20 FE GE'!$C$2+AH37*'PAG20 FE GE'!$C$3+AI37*'PAG20 FE GE'!$C$4</f>
        <v>-362</v>
      </c>
      <c r="AG37" s="17">
        <v>-1</v>
      </c>
      <c r="AH37" s="17">
        <v>-1</v>
      </c>
      <c r="AI37" s="17">
        <v>-1</v>
      </c>
      <c r="AJ37" s="27">
        <v>-1</v>
      </c>
      <c r="AK37" t="s">
        <v>424</v>
      </c>
      <c r="AL37" t="s">
        <v>791</v>
      </c>
    </row>
    <row r="38" spans="1:38" ht="15.75" thickBot="1" x14ac:dyDescent="0.3">
      <c r="A38" s="4" t="s">
        <v>2</v>
      </c>
      <c r="B38" s="7" t="s">
        <v>15</v>
      </c>
      <c r="C38" s="5" t="s">
        <v>92</v>
      </c>
      <c r="D38" s="6" t="s">
        <v>4</v>
      </c>
      <c r="E38" s="6" t="str">
        <f t="shared" si="1"/>
        <v>Pesado de Passageiros M3: II : GNC : E4</v>
      </c>
      <c r="F38" s="6" t="s">
        <v>56</v>
      </c>
      <c r="G38" s="6" t="s">
        <v>96</v>
      </c>
      <c r="H38" s="9">
        <f>IF(G38="MJ",INDEX(Tabela1[Energia (MJ/Qtd.)],MATCH(C38,Tabela1[Fuel],0)),IF(G38="GJ",INDEX(Tabela1[Energia (GJ/Qtd.)2],MATCH(C38,Tabela1[Fuel],0)),"XXX"))</f>
        <v>3.7521600000000002E-2</v>
      </c>
      <c r="I38" s="17">
        <f>O38*'PAG100 FE GE'!$E$2+P38*'PAG100 FE GE'!$E$3+Q38*'PAG100 FE GE'!$E$4</f>
        <v>-301.89999999999998</v>
      </c>
      <c r="J38" s="17">
        <f>O38*'PAG20 FE GE'!$E$2+P38*'PAG20 FE GE'!$E$3+Q38*'PAG20 FE GE'!$E$4</f>
        <v>-355.2</v>
      </c>
      <c r="K38" s="17">
        <f>O38*'PAG100 FE GE'!$D$2+P38*'PAG100 FE GE'!$D$3+Q38*'PAG100 FE GE'!$D$4</f>
        <v>-294</v>
      </c>
      <c r="L38" s="17">
        <f>O38*'PAG20 FE GE'!$D$2+P38*'PAG20 FE GE'!$D$3+Q38*'PAG20 FE GE'!$D$4</f>
        <v>-350</v>
      </c>
      <c r="M38" s="17">
        <f>O38*'PAG100 FE GE'!$C$2+P38*'PAG100 FE GE'!$C$3+Q38*'PAG100 FE GE'!$C$4</f>
        <v>-324</v>
      </c>
      <c r="N38" s="17">
        <f>O38*'PAG20 FE GE'!$C$2+P38*'PAG20 FE GE'!$C$3+Q38*'PAG20 FE GE'!$C$4</f>
        <v>-362</v>
      </c>
      <c r="O38" s="17">
        <v>-1</v>
      </c>
      <c r="P38" s="17">
        <v>-1</v>
      </c>
      <c r="Q38" s="17">
        <v>-1</v>
      </c>
      <c r="R38" s="17">
        <f>X38*'PAG100 FE GE'!$E$2+Y38*'PAG100 FE GE'!$E$3+Z38*'PAG100 FE GE'!$E$4</f>
        <v>-301.89999999999998</v>
      </c>
      <c r="S38" s="17">
        <f>X38*'PAG20 FE GE'!$E$2+Y38*'PAG20 FE GE'!$E$3+Z38*'PAG20 FE GE'!$E$4</f>
        <v>-355.2</v>
      </c>
      <c r="T38" s="17">
        <f>X38*'PAG100 FE GE'!$D$2+Y38*'PAG100 FE GE'!$D$3+Z38*'PAG100 FE GE'!$D$4</f>
        <v>-294</v>
      </c>
      <c r="U38" s="17">
        <f>X38*'PAG20 FE GE'!$D$2+Y38*'PAG20 FE GE'!$D$3+Z38*'PAG20 FE GE'!$D$4</f>
        <v>-350</v>
      </c>
      <c r="V38" s="17">
        <f>X38*'PAG100 FE GE'!$C$2+Y38*'PAG100 FE GE'!$C$3+Z38*'PAG100 FE GE'!$C$4</f>
        <v>-324</v>
      </c>
      <c r="W38" s="17">
        <f>X38*'PAG20 FE GE'!$C$2+Y38*'PAG20 FE GE'!$C$3+Z38*'PAG20 FE GE'!$C$4</f>
        <v>-362</v>
      </c>
      <c r="X38" s="17">
        <v>-1</v>
      </c>
      <c r="Y38" s="17">
        <v>-1</v>
      </c>
      <c r="Z38" s="17">
        <v>-1</v>
      </c>
      <c r="AA38" s="17">
        <f>AG38*'PAG100 FE GE'!$E$2+AH38*'PAG100 FE GE'!$E$3+AI38*'PAG100 FE GE'!$E$4</f>
        <v>-301.89999999999998</v>
      </c>
      <c r="AB38" s="17">
        <f>AG38*'PAG20 FE GE'!$E$2+AH38*'PAG20 FE GE'!$E$3+AI38*'PAG20 FE GE'!$E$4</f>
        <v>-355.2</v>
      </c>
      <c r="AC38" s="17">
        <f>AG38*'PAG100 FE GE'!$D$2+AH38*'PAG100 FE GE'!$D$3+AI38*'PAG100 FE GE'!$D$4</f>
        <v>-294</v>
      </c>
      <c r="AD38" s="17">
        <f>AG38*'PAG20 FE GE'!$D$2+AH38*'PAG20 FE GE'!$D$3+AI38*'PAG20 FE GE'!$D$4</f>
        <v>-350</v>
      </c>
      <c r="AE38" s="17">
        <f>AG38*'PAG100 FE GE'!$C$2+AH38*'PAG100 FE GE'!$C$3+AI38*'PAG100 FE GE'!$C$4</f>
        <v>-324</v>
      </c>
      <c r="AF38" s="17">
        <f>AG38*'PAG20 FE GE'!$C$2+AH38*'PAG20 FE GE'!$C$3+AI38*'PAG20 FE GE'!$C$4</f>
        <v>-362</v>
      </c>
      <c r="AG38" s="17">
        <v>-1</v>
      </c>
      <c r="AH38" s="17">
        <v>-1</v>
      </c>
      <c r="AI38" s="17">
        <v>-1</v>
      </c>
      <c r="AJ38" s="27">
        <v>-1</v>
      </c>
      <c r="AK38" t="s">
        <v>424</v>
      </c>
      <c r="AL38" t="s">
        <v>791</v>
      </c>
    </row>
    <row r="39" spans="1:38" ht="15.75" thickBot="1" x14ac:dyDescent="0.3">
      <c r="A39" s="4" t="s">
        <v>2</v>
      </c>
      <c r="B39" s="7" t="s">
        <v>15</v>
      </c>
      <c r="C39" s="5" t="s">
        <v>92</v>
      </c>
      <c r="D39" s="6" t="s">
        <v>5</v>
      </c>
      <c r="E39" s="6" t="str">
        <f t="shared" si="1"/>
        <v>Pesado de Passageiros M3: II : GNC : E5</v>
      </c>
      <c r="F39" s="6" t="s">
        <v>56</v>
      </c>
      <c r="G39" s="6" t="s">
        <v>96</v>
      </c>
      <c r="H39" s="9">
        <f>IF(G39="MJ",INDEX(Tabela1[Energia (MJ/Qtd.)],MATCH(C39,Tabela1[Fuel],0)),IF(G39="GJ",INDEX(Tabela1[Energia (GJ/Qtd.)2],MATCH(C39,Tabela1[Fuel],0)),"XXX"))</f>
        <v>3.7521600000000002E-2</v>
      </c>
      <c r="I39" s="17">
        <f>O39*'PAG100 FE GE'!$E$2+P39*'PAG100 FE GE'!$E$3+Q39*'PAG100 FE GE'!$E$4</f>
        <v>-301.89999999999998</v>
      </c>
      <c r="J39" s="17">
        <f>O39*'PAG20 FE GE'!$E$2+P39*'PAG20 FE GE'!$E$3+Q39*'PAG20 FE GE'!$E$4</f>
        <v>-355.2</v>
      </c>
      <c r="K39" s="17">
        <f>O39*'PAG100 FE GE'!$D$2+P39*'PAG100 FE GE'!$D$3+Q39*'PAG100 FE GE'!$D$4</f>
        <v>-294</v>
      </c>
      <c r="L39" s="17">
        <f>O39*'PAG20 FE GE'!$D$2+P39*'PAG20 FE GE'!$D$3+Q39*'PAG20 FE GE'!$D$4</f>
        <v>-350</v>
      </c>
      <c r="M39" s="17">
        <f>O39*'PAG100 FE GE'!$C$2+P39*'PAG100 FE GE'!$C$3+Q39*'PAG100 FE GE'!$C$4</f>
        <v>-324</v>
      </c>
      <c r="N39" s="17">
        <f>O39*'PAG20 FE GE'!$C$2+P39*'PAG20 FE GE'!$C$3+Q39*'PAG20 FE GE'!$C$4</f>
        <v>-362</v>
      </c>
      <c r="O39" s="17">
        <v>-1</v>
      </c>
      <c r="P39" s="17">
        <v>-1</v>
      </c>
      <c r="Q39" s="17">
        <v>-1</v>
      </c>
      <c r="R39" s="17">
        <f>X39*'PAG100 FE GE'!$E$2+Y39*'PAG100 FE GE'!$E$3+Z39*'PAG100 FE GE'!$E$4</f>
        <v>-301.89999999999998</v>
      </c>
      <c r="S39" s="17">
        <f>X39*'PAG20 FE GE'!$E$2+Y39*'PAG20 FE GE'!$E$3+Z39*'PAG20 FE GE'!$E$4</f>
        <v>-355.2</v>
      </c>
      <c r="T39" s="17">
        <f>X39*'PAG100 FE GE'!$D$2+Y39*'PAG100 FE GE'!$D$3+Z39*'PAG100 FE GE'!$D$4</f>
        <v>-294</v>
      </c>
      <c r="U39" s="17">
        <f>X39*'PAG20 FE GE'!$D$2+Y39*'PAG20 FE GE'!$D$3+Z39*'PAG20 FE GE'!$D$4</f>
        <v>-350</v>
      </c>
      <c r="V39" s="17">
        <f>X39*'PAG100 FE GE'!$C$2+Y39*'PAG100 FE GE'!$C$3+Z39*'PAG100 FE GE'!$C$4</f>
        <v>-324</v>
      </c>
      <c r="W39" s="17">
        <f>X39*'PAG20 FE GE'!$C$2+Y39*'PAG20 FE GE'!$C$3+Z39*'PAG20 FE GE'!$C$4</f>
        <v>-362</v>
      </c>
      <c r="X39" s="17">
        <v>-1</v>
      </c>
      <c r="Y39" s="17">
        <v>-1</v>
      </c>
      <c r="Z39" s="17">
        <v>-1</v>
      </c>
      <c r="AA39" s="17">
        <f>AG39*'PAG100 FE GE'!$E$2+AH39*'PAG100 FE GE'!$E$3+AI39*'PAG100 FE GE'!$E$4</f>
        <v>-301.89999999999998</v>
      </c>
      <c r="AB39" s="17">
        <f>AG39*'PAG20 FE GE'!$E$2+AH39*'PAG20 FE GE'!$E$3+AI39*'PAG20 FE GE'!$E$4</f>
        <v>-355.2</v>
      </c>
      <c r="AC39" s="17">
        <f>AG39*'PAG100 FE GE'!$D$2+AH39*'PAG100 FE GE'!$D$3+AI39*'PAG100 FE GE'!$D$4</f>
        <v>-294</v>
      </c>
      <c r="AD39" s="17">
        <f>AG39*'PAG20 FE GE'!$D$2+AH39*'PAG20 FE GE'!$D$3+AI39*'PAG20 FE GE'!$D$4</f>
        <v>-350</v>
      </c>
      <c r="AE39" s="17">
        <f>AG39*'PAG100 FE GE'!$C$2+AH39*'PAG100 FE GE'!$C$3+AI39*'PAG100 FE GE'!$C$4</f>
        <v>-324</v>
      </c>
      <c r="AF39" s="17">
        <f>AG39*'PAG20 FE GE'!$C$2+AH39*'PAG20 FE GE'!$C$3+AI39*'PAG20 FE GE'!$C$4</f>
        <v>-362</v>
      </c>
      <c r="AG39" s="17">
        <v>-1</v>
      </c>
      <c r="AH39" s="17">
        <v>-1</v>
      </c>
      <c r="AI39" s="17">
        <v>-1</v>
      </c>
      <c r="AJ39" s="27">
        <v>-1</v>
      </c>
      <c r="AK39" t="s">
        <v>424</v>
      </c>
      <c r="AL39" t="s">
        <v>791</v>
      </c>
    </row>
    <row r="40" spans="1:38" ht="15.75" thickBot="1" x14ac:dyDescent="0.3">
      <c r="A40" s="4" t="s">
        <v>2</v>
      </c>
      <c r="B40" s="7" t="s">
        <v>15</v>
      </c>
      <c r="C40" s="5" t="s">
        <v>92</v>
      </c>
      <c r="D40" s="6" t="s">
        <v>6</v>
      </c>
      <c r="E40" s="6" t="str">
        <f t="shared" si="1"/>
        <v>Pesado de Passageiros M3: II : GNC : E6</v>
      </c>
      <c r="F40" s="6" t="s">
        <v>56</v>
      </c>
      <c r="G40" s="6" t="s">
        <v>96</v>
      </c>
      <c r="H40" s="9">
        <f>IF(G40="MJ",INDEX(Tabela1[Energia (MJ/Qtd.)],MATCH(C40,Tabela1[Fuel],0)),IF(G40="GJ",INDEX(Tabela1[Energia (GJ/Qtd.)2],MATCH(C40,Tabela1[Fuel],0)),"XXX"))</f>
        <v>3.7521600000000002E-2</v>
      </c>
      <c r="I40" s="17">
        <f>O40*'PAG100 FE GE'!$E$2+P40*'PAG100 FE GE'!$E$3+Q40*'PAG100 FE GE'!$E$4</f>
        <v>-301.89999999999998</v>
      </c>
      <c r="J40" s="17">
        <f>O40*'PAG20 FE GE'!$E$2+P40*'PAG20 FE GE'!$E$3+Q40*'PAG20 FE GE'!$E$4</f>
        <v>-355.2</v>
      </c>
      <c r="K40" s="17">
        <f>O40*'PAG100 FE GE'!$D$2+P40*'PAG100 FE GE'!$D$3+Q40*'PAG100 FE GE'!$D$4</f>
        <v>-294</v>
      </c>
      <c r="L40" s="17">
        <f>O40*'PAG20 FE GE'!$D$2+P40*'PAG20 FE GE'!$D$3+Q40*'PAG20 FE GE'!$D$4</f>
        <v>-350</v>
      </c>
      <c r="M40" s="17">
        <f>O40*'PAG100 FE GE'!$C$2+P40*'PAG100 FE GE'!$C$3+Q40*'PAG100 FE GE'!$C$4</f>
        <v>-324</v>
      </c>
      <c r="N40" s="17">
        <f>O40*'PAG20 FE GE'!$C$2+P40*'PAG20 FE GE'!$C$3+Q40*'PAG20 FE GE'!$C$4</f>
        <v>-362</v>
      </c>
      <c r="O40" s="17">
        <v>-1</v>
      </c>
      <c r="P40" s="17">
        <v>-1</v>
      </c>
      <c r="Q40" s="17">
        <v>-1</v>
      </c>
      <c r="R40" s="17">
        <f>X40*'PAG100 FE GE'!$E$2+Y40*'PAG100 FE GE'!$E$3+Z40*'PAG100 FE GE'!$E$4</f>
        <v>-301.89999999999998</v>
      </c>
      <c r="S40" s="17">
        <f>X40*'PAG20 FE GE'!$E$2+Y40*'PAG20 FE GE'!$E$3+Z40*'PAG20 FE GE'!$E$4</f>
        <v>-355.2</v>
      </c>
      <c r="T40" s="17">
        <f>X40*'PAG100 FE GE'!$D$2+Y40*'PAG100 FE GE'!$D$3+Z40*'PAG100 FE GE'!$D$4</f>
        <v>-294</v>
      </c>
      <c r="U40" s="17">
        <f>X40*'PAG20 FE GE'!$D$2+Y40*'PAG20 FE GE'!$D$3+Z40*'PAG20 FE GE'!$D$4</f>
        <v>-350</v>
      </c>
      <c r="V40" s="17">
        <f>X40*'PAG100 FE GE'!$C$2+Y40*'PAG100 FE GE'!$C$3+Z40*'PAG100 FE GE'!$C$4</f>
        <v>-324</v>
      </c>
      <c r="W40" s="17">
        <f>X40*'PAG20 FE GE'!$C$2+Y40*'PAG20 FE GE'!$C$3+Z40*'PAG20 FE GE'!$C$4</f>
        <v>-362</v>
      </c>
      <c r="X40" s="17">
        <v>-1</v>
      </c>
      <c r="Y40" s="17">
        <v>-1</v>
      </c>
      <c r="Z40" s="17">
        <v>-1</v>
      </c>
      <c r="AA40" s="17">
        <f>AG40*'PAG100 FE GE'!$E$2+AH40*'PAG100 FE GE'!$E$3+AI40*'PAG100 FE GE'!$E$4</f>
        <v>-301.89999999999998</v>
      </c>
      <c r="AB40" s="17">
        <f>AG40*'PAG20 FE GE'!$E$2+AH40*'PAG20 FE GE'!$E$3+AI40*'PAG20 FE GE'!$E$4</f>
        <v>-355.2</v>
      </c>
      <c r="AC40" s="17">
        <f>AG40*'PAG100 FE GE'!$D$2+AH40*'PAG100 FE GE'!$D$3+AI40*'PAG100 FE GE'!$D$4</f>
        <v>-294</v>
      </c>
      <c r="AD40" s="17">
        <f>AG40*'PAG20 FE GE'!$D$2+AH40*'PAG20 FE GE'!$D$3+AI40*'PAG20 FE GE'!$D$4</f>
        <v>-350</v>
      </c>
      <c r="AE40" s="17">
        <f>AG40*'PAG100 FE GE'!$C$2+AH40*'PAG100 FE GE'!$C$3+AI40*'PAG100 FE GE'!$C$4</f>
        <v>-324</v>
      </c>
      <c r="AF40" s="17">
        <f>AG40*'PAG20 FE GE'!$C$2+AH40*'PAG20 FE GE'!$C$3+AI40*'PAG20 FE GE'!$C$4</f>
        <v>-362</v>
      </c>
      <c r="AG40" s="17">
        <v>-1</v>
      </c>
      <c r="AH40" s="17">
        <v>-1</v>
      </c>
      <c r="AI40" s="17">
        <v>-1</v>
      </c>
      <c r="AJ40" s="27">
        <v>-1</v>
      </c>
      <c r="AK40" t="s">
        <v>424</v>
      </c>
      <c r="AL40" t="s">
        <v>791</v>
      </c>
    </row>
    <row r="41" spans="1:38" ht="15.75" thickBot="1" x14ac:dyDescent="0.3">
      <c r="A41" s="4" t="s">
        <v>2</v>
      </c>
      <c r="B41" s="7" t="s">
        <v>15</v>
      </c>
      <c r="C41" s="5" t="s">
        <v>92</v>
      </c>
      <c r="D41" s="6" t="s">
        <v>81</v>
      </c>
      <c r="E41" s="6" t="str">
        <f t="shared" si="1"/>
        <v>Pesado de Passageiros M3: II : GNC : E6 D/E E7</v>
      </c>
      <c r="F41" s="6" t="s">
        <v>56</v>
      </c>
      <c r="G41" s="6" t="s">
        <v>96</v>
      </c>
      <c r="H41" s="9">
        <f>IF(G41="MJ",INDEX(Tabela1[Energia (MJ/Qtd.)],MATCH(C41,Tabela1[Fuel],0)),IF(G41="GJ",INDEX(Tabela1[Energia (GJ/Qtd.)2],MATCH(C41,Tabela1[Fuel],0)),"XXX"))</f>
        <v>3.7521600000000002E-2</v>
      </c>
      <c r="I41" s="17">
        <f>O41*'PAG100 FE GE'!$E$2+P41*'PAG100 FE GE'!$E$3+Q41*'PAG100 FE GE'!$E$4</f>
        <v>-301.89999999999998</v>
      </c>
      <c r="J41" s="17">
        <f>O41*'PAG20 FE GE'!$E$2+P41*'PAG20 FE GE'!$E$3+Q41*'PAG20 FE GE'!$E$4</f>
        <v>-355.2</v>
      </c>
      <c r="K41" s="17">
        <f>O41*'PAG100 FE GE'!$D$2+P41*'PAG100 FE GE'!$D$3+Q41*'PAG100 FE GE'!$D$4</f>
        <v>-294</v>
      </c>
      <c r="L41" s="17">
        <f>O41*'PAG20 FE GE'!$D$2+P41*'PAG20 FE GE'!$D$3+Q41*'PAG20 FE GE'!$D$4</f>
        <v>-350</v>
      </c>
      <c r="M41" s="17">
        <f>O41*'PAG100 FE GE'!$C$2+P41*'PAG100 FE GE'!$C$3+Q41*'PAG100 FE GE'!$C$4</f>
        <v>-324</v>
      </c>
      <c r="N41" s="17">
        <f>O41*'PAG20 FE GE'!$C$2+P41*'PAG20 FE GE'!$C$3+Q41*'PAG20 FE GE'!$C$4</f>
        <v>-362</v>
      </c>
      <c r="O41" s="17">
        <v>-1</v>
      </c>
      <c r="P41" s="17">
        <v>-1</v>
      </c>
      <c r="Q41" s="17">
        <v>-1</v>
      </c>
      <c r="R41" s="17">
        <f>X41*'PAG100 FE GE'!$E$2+Y41*'PAG100 FE GE'!$E$3+Z41*'PAG100 FE GE'!$E$4</f>
        <v>-301.89999999999998</v>
      </c>
      <c r="S41" s="17">
        <f>X41*'PAG20 FE GE'!$E$2+Y41*'PAG20 FE GE'!$E$3+Z41*'PAG20 FE GE'!$E$4</f>
        <v>-355.2</v>
      </c>
      <c r="T41" s="17">
        <f>X41*'PAG100 FE GE'!$D$2+Y41*'PAG100 FE GE'!$D$3+Z41*'PAG100 FE GE'!$D$4</f>
        <v>-294</v>
      </c>
      <c r="U41" s="17">
        <f>X41*'PAG20 FE GE'!$D$2+Y41*'PAG20 FE GE'!$D$3+Z41*'PAG20 FE GE'!$D$4</f>
        <v>-350</v>
      </c>
      <c r="V41" s="17">
        <f>X41*'PAG100 FE GE'!$C$2+Y41*'PAG100 FE GE'!$C$3+Z41*'PAG100 FE GE'!$C$4</f>
        <v>-324</v>
      </c>
      <c r="W41" s="17">
        <f>X41*'PAG20 FE GE'!$C$2+Y41*'PAG20 FE GE'!$C$3+Z41*'PAG20 FE GE'!$C$4</f>
        <v>-362</v>
      </c>
      <c r="X41" s="17">
        <v>-1</v>
      </c>
      <c r="Y41" s="17">
        <v>-1</v>
      </c>
      <c r="Z41" s="17">
        <v>-1</v>
      </c>
      <c r="AA41" s="17">
        <f>AG41*'PAG100 FE GE'!$E$2+AH41*'PAG100 FE GE'!$E$3+AI41*'PAG100 FE GE'!$E$4</f>
        <v>-301.89999999999998</v>
      </c>
      <c r="AB41" s="17">
        <f>AG41*'PAG20 FE GE'!$E$2+AH41*'PAG20 FE GE'!$E$3+AI41*'PAG20 FE GE'!$E$4</f>
        <v>-355.2</v>
      </c>
      <c r="AC41" s="17">
        <f>AG41*'PAG100 FE GE'!$D$2+AH41*'PAG100 FE GE'!$D$3+AI41*'PAG100 FE GE'!$D$4</f>
        <v>-294</v>
      </c>
      <c r="AD41" s="17">
        <f>AG41*'PAG20 FE GE'!$D$2+AH41*'PAG20 FE GE'!$D$3+AI41*'PAG20 FE GE'!$D$4</f>
        <v>-350</v>
      </c>
      <c r="AE41" s="17">
        <f>AG41*'PAG100 FE GE'!$C$2+AH41*'PAG100 FE GE'!$C$3+AI41*'PAG100 FE GE'!$C$4</f>
        <v>-324</v>
      </c>
      <c r="AF41" s="17">
        <f>AG41*'PAG20 FE GE'!$C$2+AH41*'PAG20 FE GE'!$C$3+AI41*'PAG20 FE GE'!$C$4</f>
        <v>-362</v>
      </c>
      <c r="AG41" s="17">
        <v>-1</v>
      </c>
      <c r="AH41" s="17">
        <v>-1</v>
      </c>
      <c r="AI41" s="17">
        <v>-1</v>
      </c>
      <c r="AJ41" s="27">
        <v>-1</v>
      </c>
      <c r="AK41" t="s">
        <v>424</v>
      </c>
      <c r="AL41" t="s">
        <v>791</v>
      </c>
    </row>
    <row r="42" spans="1:38" ht="15.75" thickBot="1" x14ac:dyDescent="0.3">
      <c r="A42" s="4" t="s">
        <v>2</v>
      </c>
      <c r="B42" s="7" t="s">
        <v>15</v>
      </c>
      <c r="C42" s="5" t="s">
        <v>95</v>
      </c>
      <c r="D42" s="6" t="s">
        <v>8</v>
      </c>
      <c r="E42" s="6" t="str">
        <f t="shared" si="1"/>
        <v>Pesado de Passageiros M3: II : GNL : E0</v>
      </c>
      <c r="F42" s="6" t="s">
        <v>57</v>
      </c>
      <c r="G42" s="6" t="s">
        <v>96</v>
      </c>
      <c r="H42" s="9">
        <f>IF(G42="MJ",INDEX(Tabela1[Energia (MJ/Qtd.)],MATCH(C42,Tabela1[Fuel],0)),IF(G42="GJ",INDEX(Tabela1[Energia (GJ/Qtd.)2],MATCH(C42,Tabela1[Fuel],0)),"XXX"))</f>
        <v>4.8000000000000001E-2</v>
      </c>
      <c r="I42" s="17">
        <f>O42*'PAG100 FE GE'!$E$2+P42*'PAG100 FE GE'!$E$3+Q42*'PAG100 FE GE'!$E$4</f>
        <v>-301.89999999999998</v>
      </c>
      <c r="J42" s="17">
        <f>O42*'PAG20 FE GE'!$E$2+P42*'PAG20 FE GE'!$E$3+Q42*'PAG20 FE GE'!$E$4</f>
        <v>-355.2</v>
      </c>
      <c r="K42" s="17">
        <f>O42*'PAG100 FE GE'!$D$2+P42*'PAG100 FE GE'!$D$3+Q42*'PAG100 FE GE'!$D$4</f>
        <v>-294</v>
      </c>
      <c r="L42" s="17">
        <f>O42*'PAG20 FE GE'!$D$2+P42*'PAG20 FE GE'!$D$3+Q42*'PAG20 FE GE'!$D$4</f>
        <v>-350</v>
      </c>
      <c r="M42" s="17">
        <f>O42*'PAG100 FE GE'!$C$2+P42*'PAG100 FE GE'!$C$3+Q42*'PAG100 FE GE'!$C$4</f>
        <v>-324</v>
      </c>
      <c r="N42" s="17">
        <f>O42*'PAG20 FE GE'!$C$2+P42*'PAG20 FE GE'!$C$3+Q42*'PAG20 FE GE'!$C$4</f>
        <v>-362</v>
      </c>
      <c r="O42" s="17">
        <v>-1</v>
      </c>
      <c r="P42" s="17">
        <v>-1</v>
      </c>
      <c r="Q42" s="17">
        <v>-1</v>
      </c>
      <c r="R42" s="17">
        <f>X42*'PAG100 FE GE'!$E$2+Y42*'PAG100 FE GE'!$E$3+Z42*'PAG100 FE GE'!$E$4</f>
        <v>-301.89999999999998</v>
      </c>
      <c r="S42" s="17">
        <f>X42*'PAG20 FE GE'!$E$2+Y42*'PAG20 FE GE'!$E$3+Z42*'PAG20 FE GE'!$E$4</f>
        <v>-355.2</v>
      </c>
      <c r="T42" s="17">
        <f>X42*'PAG100 FE GE'!$D$2+Y42*'PAG100 FE GE'!$D$3+Z42*'PAG100 FE GE'!$D$4</f>
        <v>-294</v>
      </c>
      <c r="U42" s="17">
        <f>X42*'PAG20 FE GE'!$D$2+Y42*'PAG20 FE GE'!$D$3+Z42*'PAG20 FE GE'!$D$4</f>
        <v>-350</v>
      </c>
      <c r="V42" s="17">
        <f>X42*'PAG100 FE GE'!$C$2+Y42*'PAG100 FE GE'!$C$3+Z42*'PAG100 FE GE'!$C$4</f>
        <v>-324</v>
      </c>
      <c r="W42" s="17">
        <f>X42*'PAG20 FE GE'!$C$2+Y42*'PAG20 FE GE'!$C$3+Z42*'PAG20 FE GE'!$C$4</f>
        <v>-362</v>
      </c>
      <c r="X42" s="17">
        <v>-1</v>
      </c>
      <c r="Y42" s="17">
        <v>-1</v>
      </c>
      <c r="Z42" s="17">
        <v>-1</v>
      </c>
      <c r="AA42" s="17">
        <f>AG42*'PAG100 FE GE'!$E$2+AH42*'PAG100 FE GE'!$E$3+AI42*'PAG100 FE GE'!$E$4</f>
        <v>-301.89999999999998</v>
      </c>
      <c r="AB42" s="17">
        <f>AG42*'PAG20 FE GE'!$E$2+AH42*'PAG20 FE GE'!$E$3+AI42*'PAG20 FE GE'!$E$4</f>
        <v>-355.2</v>
      </c>
      <c r="AC42" s="17">
        <f>AG42*'PAG100 FE GE'!$D$2+AH42*'PAG100 FE GE'!$D$3+AI42*'PAG100 FE GE'!$D$4</f>
        <v>-294</v>
      </c>
      <c r="AD42" s="17">
        <f>AG42*'PAG20 FE GE'!$D$2+AH42*'PAG20 FE GE'!$D$3+AI42*'PAG20 FE GE'!$D$4</f>
        <v>-350</v>
      </c>
      <c r="AE42" s="17">
        <f>AG42*'PAG100 FE GE'!$C$2+AH42*'PAG100 FE GE'!$C$3+AI42*'PAG100 FE GE'!$C$4</f>
        <v>-324</v>
      </c>
      <c r="AF42" s="17">
        <f>AG42*'PAG20 FE GE'!$C$2+AH42*'PAG20 FE GE'!$C$3+AI42*'PAG20 FE GE'!$C$4</f>
        <v>-362</v>
      </c>
      <c r="AG42" s="17">
        <v>-1</v>
      </c>
      <c r="AH42" s="17">
        <v>-1</v>
      </c>
      <c r="AI42" s="17">
        <v>-1</v>
      </c>
      <c r="AJ42" s="27">
        <v>-1</v>
      </c>
      <c r="AK42" t="s">
        <v>424</v>
      </c>
      <c r="AL42" t="s">
        <v>791</v>
      </c>
    </row>
    <row r="43" spans="1:38" ht="15.75" thickBot="1" x14ac:dyDescent="0.3">
      <c r="A43" s="4" t="s">
        <v>2</v>
      </c>
      <c r="B43" s="7" t="s">
        <v>15</v>
      </c>
      <c r="C43" s="5" t="s">
        <v>95</v>
      </c>
      <c r="D43" s="6" t="s">
        <v>7</v>
      </c>
      <c r="E43" s="6" t="str">
        <f t="shared" si="1"/>
        <v>Pesado de Passageiros M3: II : GNL : E1</v>
      </c>
      <c r="F43" s="6" t="s">
        <v>57</v>
      </c>
      <c r="G43" s="6" t="s">
        <v>96</v>
      </c>
      <c r="H43" s="9">
        <f>IF(G43="MJ",INDEX(Tabela1[Energia (MJ/Qtd.)],MATCH(C43,Tabela1[Fuel],0)),IF(G43="GJ",INDEX(Tabela1[Energia (GJ/Qtd.)2],MATCH(C43,Tabela1[Fuel],0)),"XXX"))</f>
        <v>4.8000000000000001E-2</v>
      </c>
      <c r="I43" s="17">
        <f>O43*'PAG100 FE GE'!$E$2+P43*'PAG100 FE GE'!$E$3+Q43*'PAG100 FE GE'!$E$4</f>
        <v>-301.89999999999998</v>
      </c>
      <c r="J43" s="17">
        <f>O43*'PAG20 FE GE'!$E$2+P43*'PAG20 FE GE'!$E$3+Q43*'PAG20 FE GE'!$E$4</f>
        <v>-355.2</v>
      </c>
      <c r="K43" s="17">
        <f>O43*'PAG100 FE GE'!$D$2+P43*'PAG100 FE GE'!$D$3+Q43*'PAG100 FE GE'!$D$4</f>
        <v>-294</v>
      </c>
      <c r="L43" s="17">
        <f>O43*'PAG20 FE GE'!$D$2+P43*'PAG20 FE GE'!$D$3+Q43*'PAG20 FE GE'!$D$4</f>
        <v>-350</v>
      </c>
      <c r="M43" s="17">
        <f>O43*'PAG100 FE GE'!$C$2+P43*'PAG100 FE GE'!$C$3+Q43*'PAG100 FE GE'!$C$4</f>
        <v>-324</v>
      </c>
      <c r="N43" s="17">
        <f>O43*'PAG20 FE GE'!$C$2+P43*'PAG20 FE GE'!$C$3+Q43*'PAG20 FE GE'!$C$4</f>
        <v>-362</v>
      </c>
      <c r="O43" s="17">
        <v>-1</v>
      </c>
      <c r="P43" s="17">
        <v>-1</v>
      </c>
      <c r="Q43" s="17">
        <v>-1</v>
      </c>
      <c r="R43" s="17">
        <f>X43*'PAG100 FE GE'!$E$2+Y43*'PAG100 FE GE'!$E$3+Z43*'PAG100 FE GE'!$E$4</f>
        <v>-301.89999999999998</v>
      </c>
      <c r="S43" s="17">
        <f>X43*'PAG20 FE GE'!$E$2+Y43*'PAG20 FE GE'!$E$3+Z43*'PAG20 FE GE'!$E$4</f>
        <v>-355.2</v>
      </c>
      <c r="T43" s="17">
        <f>X43*'PAG100 FE GE'!$D$2+Y43*'PAG100 FE GE'!$D$3+Z43*'PAG100 FE GE'!$D$4</f>
        <v>-294</v>
      </c>
      <c r="U43" s="17">
        <f>X43*'PAG20 FE GE'!$D$2+Y43*'PAG20 FE GE'!$D$3+Z43*'PAG20 FE GE'!$D$4</f>
        <v>-350</v>
      </c>
      <c r="V43" s="17">
        <f>X43*'PAG100 FE GE'!$C$2+Y43*'PAG100 FE GE'!$C$3+Z43*'PAG100 FE GE'!$C$4</f>
        <v>-324</v>
      </c>
      <c r="W43" s="17">
        <f>X43*'PAG20 FE GE'!$C$2+Y43*'PAG20 FE GE'!$C$3+Z43*'PAG20 FE GE'!$C$4</f>
        <v>-362</v>
      </c>
      <c r="X43" s="17">
        <v>-1</v>
      </c>
      <c r="Y43" s="17">
        <v>-1</v>
      </c>
      <c r="Z43" s="17">
        <v>-1</v>
      </c>
      <c r="AA43" s="17">
        <f>AG43*'PAG100 FE GE'!$E$2+AH43*'PAG100 FE GE'!$E$3+AI43*'PAG100 FE GE'!$E$4</f>
        <v>-301.89999999999998</v>
      </c>
      <c r="AB43" s="17">
        <f>AG43*'PAG20 FE GE'!$E$2+AH43*'PAG20 FE GE'!$E$3+AI43*'PAG20 FE GE'!$E$4</f>
        <v>-355.2</v>
      </c>
      <c r="AC43" s="17">
        <f>AG43*'PAG100 FE GE'!$D$2+AH43*'PAG100 FE GE'!$D$3+AI43*'PAG100 FE GE'!$D$4</f>
        <v>-294</v>
      </c>
      <c r="AD43" s="17">
        <f>AG43*'PAG20 FE GE'!$D$2+AH43*'PAG20 FE GE'!$D$3+AI43*'PAG20 FE GE'!$D$4</f>
        <v>-350</v>
      </c>
      <c r="AE43" s="17">
        <f>AG43*'PAG100 FE GE'!$C$2+AH43*'PAG100 FE GE'!$C$3+AI43*'PAG100 FE GE'!$C$4</f>
        <v>-324</v>
      </c>
      <c r="AF43" s="17">
        <f>AG43*'PAG20 FE GE'!$C$2+AH43*'PAG20 FE GE'!$C$3+AI43*'PAG20 FE GE'!$C$4</f>
        <v>-362</v>
      </c>
      <c r="AG43" s="17">
        <v>-1</v>
      </c>
      <c r="AH43" s="17">
        <v>-1</v>
      </c>
      <c r="AI43" s="17">
        <v>-1</v>
      </c>
      <c r="AJ43" s="27">
        <v>-1</v>
      </c>
      <c r="AK43" t="s">
        <v>424</v>
      </c>
      <c r="AL43" t="s">
        <v>791</v>
      </c>
    </row>
    <row r="44" spans="1:38" ht="15.75" thickBot="1" x14ac:dyDescent="0.3">
      <c r="A44" s="4" t="s">
        <v>2</v>
      </c>
      <c r="B44" s="7" t="s">
        <v>15</v>
      </c>
      <c r="C44" s="5" t="s">
        <v>95</v>
      </c>
      <c r="D44" s="6" t="s">
        <v>9</v>
      </c>
      <c r="E44" s="6" t="str">
        <f t="shared" si="1"/>
        <v>Pesado de Passageiros M3: II : GNL : E2</v>
      </c>
      <c r="F44" s="6" t="s">
        <v>57</v>
      </c>
      <c r="G44" s="6" t="s">
        <v>96</v>
      </c>
      <c r="H44" s="9">
        <f>IF(G44="MJ",INDEX(Tabela1[Energia (MJ/Qtd.)],MATCH(C44,Tabela1[Fuel],0)),IF(G44="GJ",INDEX(Tabela1[Energia (GJ/Qtd.)2],MATCH(C44,Tabela1[Fuel],0)),"XXX"))</f>
        <v>4.8000000000000001E-2</v>
      </c>
      <c r="I44" s="17">
        <f>O44*'PAG100 FE GE'!$E$2+P44*'PAG100 FE GE'!$E$3+Q44*'PAG100 FE GE'!$E$4</f>
        <v>-301.89999999999998</v>
      </c>
      <c r="J44" s="17">
        <f>O44*'PAG20 FE GE'!$E$2+P44*'PAG20 FE GE'!$E$3+Q44*'PAG20 FE GE'!$E$4</f>
        <v>-355.2</v>
      </c>
      <c r="K44" s="17">
        <f>O44*'PAG100 FE GE'!$D$2+P44*'PAG100 FE GE'!$D$3+Q44*'PAG100 FE GE'!$D$4</f>
        <v>-294</v>
      </c>
      <c r="L44" s="17">
        <f>O44*'PAG20 FE GE'!$D$2+P44*'PAG20 FE GE'!$D$3+Q44*'PAG20 FE GE'!$D$4</f>
        <v>-350</v>
      </c>
      <c r="M44" s="17">
        <f>O44*'PAG100 FE GE'!$C$2+P44*'PAG100 FE GE'!$C$3+Q44*'PAG100 FE GE'!$C$4</f>
        <v>-324</v>
      </c>
      <c r="N44" s="17">
        <f>O44*'PAG20 FE GE'!$C$2+P44*'PAG20 FE GE'!$C$3+Q44*'PAG20 FE GE'!$C$4</f>
        <v>-362</v>
      </c>
      <c r="O44" s="17">
        <v>-1</v>
      </c>
      <c r="P44" s="17">
        <v>-1</v>
      </c>
      <c r="Q44" s="17">
        <v>-1</v>
      </c>
      <c r="R44" s="17">
        <f>X44*'PAG100 FE GE'!$E$2+Y44*'PAG100 FE GE'!$E$3+Z44*'PAG100 FE GE'!$E$4</f>
        <v>-301.89999999999998</v>
      </c>
      <c r="S44" s="17">
        <f>X44*'PAG20 FE GE'!$E$2+Y44*'PAG20 FE GE'!$E$3+Z44*'PAG20 FE GE'!$E$4</f>
        <v>-355.2</v>
      </c>
      <c r="T44" s="17">
        <f>X44*'PAG100 FE GE'!$D$2+Y44*'PAG100 FE GE'!$D$3+Z44*'PAG100 FE GE'!$D$4</f>
        <v>-294</v>
      </c>
      <c r="U44" s="17">
        <f>X44*'PAG20 FE GE'!$D$2+Y44*'PAG20 FE GE'!$D$3+Z44*'PAG20 FE GE'!$D$4</f>
        <v>-350</v>
      </c>
      <c r="V44" s="17">
        <f>X44*'PAG100 FE GE'!$C$2+Y44*'PAG100 FE GE'!$C$3+Z44*'PAG100 FE GE'!$C$4</f>
        <v>-324</v>
      </c>
      <c r="W44" s="17">
        <f>X44*'PAG20 FE GE'!$C$2+Y44*'PAG20 FE GE'!$C$3+Z44*'PAG20 FE GE'!$C$4</f>
        <v>-362</v>
      </c>
      <c r="X44" s="17">
        <v>-1</v>
      </c>
      <c r="Y44" s="17">
        <v>-1</v>
      </c>
      <c r="Z44" s="17">
        <v>-1</v>
      </c>
      <c r="AA44" s="17">
        <f>AG44*'PAG100 FE GE'!$E$2+AH44*'PAG100 FE GE'!$E$3+AI44*'PAG100 FE GE'!$E$4</f>
        <v>-301.89999999999998</v>
      </c>
      <c r="AB44" s="17">
        <f>AG44*'PAG20 FE GE'!$E$2+AH44*'PAG20 FE GE'!$E$3+AI44*'PAG20 FE GE'!$E$4</f>
        <v>-355.2</v>
      </c>
      <c r="AC44" s="17">
        <f>AG44*'PAG100 FE GE'!$D$2+AH44*'PAG100 FE GE'!$D$3+AI44*'PAG100 FE GE'!$D$4</f>
        <v>-294</v>
      </c>
      <c r="AD44" s="17">
        <f>AG44*'PAG20 FE GE'!$D$2+AH44*'PAG20 FE GE'!$D$3+AI44*'PAG20 FE GE'!$D$4</f>
        <v>-350</v>
      </c>
      <c r="AE44" s="17">
        <f>AG44*'PAG100 FE GE'!$C$2+AH44*'PAG100 FE GE'!$C$3+AI44*'PAG100 FE GE'!$C$4</f>
        <v>-324</v>
      </c>
      <c r="AF44" s="17">
        <f>AG44*'PAG20 FE GE'!$C$2+AH44*'PAG20 FE GE'!$C$3+AI44*'PAG20 FE GE'!$C$4</f>
        <v>-362</v>
      </c>
      <c r="AG44" s="17">
        <v>-1</v>
      </c>
      <c r="AH44" s="17">
        <v>-1</v>
      </c>
      <c r="AI44" s="17">
        <v>-1</v>
      </c>
      <c r="AJ44" s="27">
        <v>-1</v>
      </c>
      <c r="AK44" t="s">
        <v>424</v>
      </c>
      <c r="AL44" t="s">
        <v>791</v>
      </c>
    </row>
    <row r="45" spans="1:38" ht="15.75" thickBot="1" x14ac:dyDescent="0.3">
      <c r="A45" s="4" t="s">
        <v>2</v>
      </c>
      <c r="B45" s="7" t="s">
        <v>15</v>
      </c>
      <c r="C45" s="5" t="s">
        <v>95</v>
      </c>
      <c r="D45" s="6" t="s">
        <v>10</v>
      </c>
      <c r="E45" s="6" t="str">
        <f t="shared" si="1"/>
        <v>Pesado de Passageiros M3: II : GNL : E3</v>
      </c>
      <c r="F45" s="6" t="s">
        <v>57</v>
      </c>
      <c r="G45" s="6" t="s">
        <v>96</v>
      </c>
      <c r="H45" s="9">
        <f>IF(G45="MJ",INDEX(Tabela1[Energia (MJ/Qtd.)],MATCH(C45,Tabela1[Fuel],0)),IF(G45="GJ",INDEX(Tabela1[Energia (GJ/Qtd.)2],MATCH(C45,Tabela1[Fuel],0)),"XXX"))</f>
        <v>4.8000000000000001E-2</v>
      </c>
      <c r="I45" s="17">
        <f>O45*'PAG100 FE GE'!$E$2+P45*'PAG100 FE GE'!$E$3+Q45*'PAG100 FE GE'!$E$4</f>
        <v>-301.89999999999998</v>
      </c>
      <c r="J45" s="17">
        <f>O45*'PAG20 FE GE'!$E$2+P45*'PAG20 FE GE'!$E$3+Q45*'PAG20 FE GE'!$E$4</f>
        <v>-355.2</v>
      </c>
      <c r="K45" s="17">
        <f>O45*'PAG100 FE GE'!$D$2+P45*'PAG100 FE GE'!$D$3+Q45*'PAG100 FE GE'!$D$4</f>
        <v>-294</v>
      </c>
      <c r="L45" s="17">
        <f>O45*'PAG20 FE GE'!$D$2+P45*'PAG20 FE GE'!$D$3+Q45*'PAG20 FE GE'!$D$4</f>
        <v>-350</v>
      </c>
      <c r="M45" s="17">
        <f>O45*'PAG100 FE GE'!$C$2+P45*'PAG100 FE GE'!$C$3+Q45*'PAG100 FE GE'!$C$4</f>
        <v>-324</v>
      </c>
      <c r="N45" s="17">
        <f>O45*'PAG20 FE GE'!$C$2+P45*'PAG20 FE GE'!$C$3+Q45*'PAG20 FE GE'!$C$4</f>
        <v>-362</v>
      </c>
      <c r="O45" s="17">
        <v>-1</v>
      </c>
      <c r="P45" s="17">
        <v>-1</v>
      </c>
      <c r="Q45" s="17">
        <v>-1</v>
      </c>
      <c r="R45" s="17">
        <f>X45*'PAG100 FE GE'!$E$2+Y45*'PAG100 FE GE'!$E$3+Z45*'PAG100 FE GE'!$E$4</f>
        <v>-301.89999999999998</v>
      </c>
      <c r="S45" s="17">
        <f>X45*'PAG20 FE GE'!$E$2+Y45*'PAG20 FE GE'!$E$3+Z45*'PAG20 FE GE'!$E$4</f>
        <v>-355.2</v>
      </c>
      <c r="T45" s="17">
        <f>X45*'PAG100 FE GE'!$D$2+Y45*'PAG100 FE GE'!$D$3+Z45*'PAG100 FE GE'!$D$4</f>
        <v>-294</v>
      </c>
      <c r="U45" s="17">
        <f>X45*'PAG20 FE GE'!$D$2+Y45*'PAG20 FE GE'!$D$3+Z45*'PAG20 FE GE'!$D$4</f>
        <v>-350</v>
      </c>
      <c r="V45" s="17">
        <f>X45*'PAG100 FE GE'!$C$2+Y45*'PAG100 FE GE'!$C$3+Z45*'PAG100 FE GE'!$C$4</f>
        <v>-324</v>
      </c>
      <c r="W45" s="17">
        <f>X45*'PAG20 FE GE'!$C$2+Y45*'PAG20 FE GE'!$C$3+Z45*'PAG20 FE GE'!$C$4</f>
        <v>-362</v>
      </c>
      <c r="X45" s="17">
        <v>-1</v>
      </c>
      <c r="Y45" s="17">
        <v>-1</v>
      </c>
      <c r="Z45" s="17">
        <v>-1</v>
      </c>
      <c r="AA45" s="17">
        <f>AG45*'PAG100 FE GE'!$E$2+AH45*'PAG100 FE GE'!$E$3+AI45*'PAG100 FE GE'!$E$4</f>
        <v>-301.89999999999998</v>
      </c>
      <c r="AB45" s="17">
        <f>AG45*'PAG20 FE GE'!$E$2+AH45*'PAG20 FE GE'!$E$3+AI45*'PAG20 FE GE'!$E$4</f>
        <v>-355.2</v>
      </c>
      <c r="AC45" s="17">
        <f>AG45*'PAG100 FE GE'!$D$2+AH45*'PAG100 FE GE'!$D$3+AI45*'PAG100 FE GE'!$D$4</f>
        <v>-294</v>
      </c>
      <c r="AD45" s="17">
        <f>AG45*'PAG20 FE GE'!$D$2+AH45*'PAG20 FE GE'!$D$3+AI45*'PAG20 FE GE'!$D$4</f>
        <v>-350</v>
      </c>
      <c r="AE45" s="17">
        <f>AG45*'PAG100 FE GE'!$C$2+AH45*'PAG100 FE GE'!$C$3+AI45*'PAG100 FE GE'!$C$4</f>
        <v>-324</v>
      </c>
      <c r="AF45" s="17">
        <f>AG45*'PAG20 FE GE'!$C$2+AH45*'PAG20 FE GE'!$C$3+AI45*'PAG20 FE GE'!$C$4</f>
        <v>-362</v>
      </c>
      <c r="AG45" s="17">
        <v>-1</v>
      </c>
      <c r="AH45" s="17">
        <v>-1</v>
      </c>
      <c r="AI45" s="17">
        <v>-1</v>
      </c>
      <c r="AJ45" s="27">
        <v>-1</v>
      </c>
      <c r="AK45" t="s">
        <v>424</v>
      </c>
      <c r="AL45" t="s">
        <v>791</v>
      </c>
    </row>
    <row r="46" spans="1:38" ht="15.75" thickBot="1" x14ac:dyDescent="0.3">
      <c r="A46" s="4" t="s">
        <v>2</v>
      </c>
      <c r="B46" s="7" t="s">
        <v>15</v>
      </c>
      <c r="C46" s="5" t="s">
        <v>95</v>
      </c>
      <c r="D46" s="6" t="s">
        <v>4</v>
      </c>
      <c r="E46" s="6" t="str">
        <f t="shared" si="1"/>
        <v>Pesado de Passageiros M3: II : GNL : E4</v>
      </c>
      <c r="F46" s="6" t="s">
        <v>57</v>
      </c>
      <c r="G46" s="6" t="s">
        <v>96</v>
      </c>
      <c r="H46" s="9">
        <f>IF(G46="MJ",INDEX(Tabela1[Energia (MJ/Qtd.)],MATCH(C46,Tabela1[Fuel],0)),IF(G46="GJ",INDEX(Tabela1[Energia (GJ/Qtd.)2],MATCH(C46,Tabela1[Fuel],0)),"XXX"))</f>
        <v>4.8000000000000001E-2</v>
      </c>
      <c r="I46" s="17">
        <f>O46*'PAG100 FE GE'!$E$2+P46*'PAG100 FE GE'!$E$3+Q46*'PAG100 FE GE'!$E$4</f>
        <v>-301.89999999999998</v>
      </c>
      <c r="J46" s="17">
        <f>O46*'PAG20 FE GE'!$E$2+P46*'PAG20 FE GE'!$E$3+Q46*'PAG20 FE GE'!$E$4</f>
        <v>-355.2</v>
      </c>
      <c r="K46" s="17">
        <f>O46*'PAG100 FE GE'!$D$2+P46*'PAG100 FE GE'!$D$3+Q46*'PAG100 FE GE'!$D$4</f>
        <v>-294</v>
      </c>
      <c r="L46" s="17">
        <f>O46*'PAG20 FE GE'!$D$2+P46*'PAG20 FE GE'!$D$3+Q46*'PAG20 FE GE'!$D$4</f>
        <v>-350</v>
      </c>
      <c r="M46" s="17">
        <f>O46*'PAG100 FE GE'!$C$2+P46*'PAG100 FE GE'!$C$3+Q46*'PAG100 FE GE'!$C$4</f>
        <v>-324</v>
      </c>
      <c r="N46" s="17">
        <f>O46*'PAG20 FE GE'!$C$2+P46*'PAG20 FE GE'!$C$3+Q46*'PAG20 FE GE'!$C$4</f>
        <v>-362</v>
      </c>
      <c r="O46" s="17">
        <v>-1</v>
      </c>
      <c r="P46" s="17">
        <v>-1</v>
      </c>
      <c r="Q46" s="17">
        <v>-1</v>
      </c>
      <c r="R46" s="17">
        <f>X46*'PAG100 FE GE'!$E$2+Y46*'PAG100 FE GE'!$E$3+Z46*'PAG100 FE GE'!$E$4</f>
        <v>-301.89999999999998</v>
      </c>
      <c r="S46" s="17">
        <f>X46*'PAG20 FE GE'!$E$2+Y46*'PAG20 FE GE'!$E$3+Z46*'PAG20 FE GE'!$E$4</f>
        <v>-355.2</v>
      </c>
      <c r="T46" s="17">
        <f>X46*'PAG100 FE GE'!$D$2+Y46*'PAG100 FE GE'!$D$3+Z46*'PAG100 FE GE'!$D$4</f>
        <v>-294</v>
      </c>
      <c r="U46" s="17">
        <f>X46*'PAG20 FE GE'!$D$2+Y46*'PAG20 FE GE'!$D$3+Z46*'PAG20 FE GE'!$D$4</f>
        <v>-350</v>
      </c>
      <c r="V46" s="17">
        <f>X46*'PAG100 FE GE'!$C$2+Y46*'PAG100 FE GE'!$C$3+Z46*'PAG100 FE GE'!$C$4</f>
        <v>-324</v>
      </c>
      <c r="W46" s="17">
        <f>X46*'PAG20 FE GE'!$C$2+Y46*'PAG20 FE GE'!$C$3+Z46*'PAG20 FE GE'!$C$4</f>
        <v>-362</v>
      </c>
      <c r="X46" s="17">
        <v>-1</v>
      </c>
      <c r="Y46" s="17">
        <v>-1</v>
      </c>
      <c r="Z46" s="17">
        <v>-1</v>
      </c>
      <c r="AA46" s="17">
        <f>AG46*'PAG100 FE GE'!$E$2+AH46*'PAG100 FE GE'!$E$3+AI46*'PAG100 FE GE'!$E$4</f>
        <v>-301.89999999999998</v>
      </c>
      <c r="AB46" s="17">
        <f>AG46*'PAG20 FE GE'!$E$2+AH46*'PAG20 FE GE'!$E$3+AI46*'PAG20 FE GE'!$E$4</f>
        <v>-355.2</v>
      </c>
      <c r="AC46" s="17">
        <f>AG46*'PAG100 FE GE'!$D$2+AH46*'PAG100 FE GE'!$D$3+AI46*'PAG100 FE GE'!$D$4</f>
        <v>-294</v>
      </c>
      <c r="AD46" s="17">
        <f>AG46*'PAG20 FE GE'!$D$2+AH46*'PAG20 FE GE'!$D$3+AI46*'PAG20 FE GE'!$D$4</f>
        <v>-350</v>
      </c>
      <c r="AE46" s="17">
        <f>AG46*'PAG100 FE GE'!$C$2+AH46*'PAG100 FE GE'!$C$3+AI46*'PAG100 FE GE'!$C$4</f>
        <v>-324</v>
      </c>
      <c r="AF46" s="17">
        <f>AG46*'PAG20 FE GE'!$C$2+AH46*'PAG20 FE GE'!$C$3+AI46*'PAG20 FE GE'!$C$4</f>
        <v>-362</v>
      </c>
      <c r="AG46" s="17">
        <v>-1</v>
      </c>
      <c r="AH46" s="17">
        <v>-1</v>
      </c>
      <c r="AI46" s="17">
        <v>-1</v>
      </c>
      <c r="AJ46" s="27">
        <v>-1</v>
      </c>
      <c r="AK46" t="s">
        <v>424</v>
      </c>
      <c r="AL46" t="s">
        <v>791</v>
      </c>
    </row>
    <row r="47" spans="1:38" ht="15.75" thickBot="1" x14ac:dyDescent="0.3">
      <c r="A47" s="4" t="s">
        <v>2</v>
      </c>
      <c r="B47" s="7" t="s">
        <v>15</v>
      </c>
      <c r="C47" s="5" t="s">
        <v>95</v>
      </c>
      <c r="D47" s="6" t="s">
        <v>5</v>
      </c>
      <c r="E47" s="6" t="str">
        <f t="shared" si="1"/>
        <v>Pesado de Passageiros M3: II : GNL : E5</v>
      </c>
      <c r="F47" s="6" t="s">
        <v>57</v>
      </c>
      <c r="G47" s="6" t="s">
        <v>96</v>
      </c>
      <c r="H47" s="9">
        <f>IF(G47="MJ",INDEX(Tabela1[Energia (MJ/Qtd.)],MATCH(C47,Tabela1[Fuel],0)),IF(G47="GJ",INDEX(Tabela1[Energia (GJ/Qtd.)2],MATCH(C47,Tabela1[Fuel],0)),"XXX"))</f>
        <v>4.8000000000000001E-2</v>
      </c>
      <c r="I47" s="17">
        <f>O47*'PAG100 FE GE'!$E$2+P47*'PAG100 FE GE'!$E$3+Q47*'PAG100 FE GE'!$E$4</f>
        <v>-301.89999999999998</v>
      </c>
      <c r="J47" s="17">
        <f>O47*'PAG20 FE GE'!$E$2+P47*'PAG20 FE GE'!$E$3+Q47*'PAG20 FE GE'!$E$4</f>
        <v>-355.2</v>
      </c>
      <c r="K47" s="17">
        <f>O47*'PAG100 FE GE'!$D$2+P47*'PAG100 FE GE'!$D$3+Q47*'PAG100 FE GE'!$D$4</f>
        <v>-294</v>
      </c>
      <c r="L47" s="17">
        <f>O47*'PAG20 FE GE'!$D$2+P47*'PAG20 FE GE'!$D$3+Q47*'PAG20 FE GE'!$D$4</f>
        <v>-350</v>
      </c>
      <c r="M47" s="17">
        <f>O47*'PAG100 FE GE'!$C$2+P47*'PAG100 FE GE'!$C$3+Q47*'PAG100 FE GE'!$C$4</f>
        <v>-324</v>
      </c>
      <c r="N47" s="17">
        <f>O47*'PAG20 FE GE'!$C$2+P47*'PAG20 FE GE'!$C$3+Q47*'PAG20 FE GE'!$C$4</f>
        <v>-362</v>
      </c>
      <c r="O47" s="17">
        <v>-1</v>
      </c>
      <c r="P47" s="17">
        <v>-1</v>
      </c>
      <c r="Q47" s="17">
        <v>-1</v>
      </c>
      <c r="R47" s="17">
        <f>X47*'PAG100 FE GE'!$E$2+Y47*'PAG100 FE GE'!$E$3+Z47*'PAG100 FE GE'!$E$4</f>
        <v>-301.89999999999998</v>
      </c>
      <c r="S47" s="17">
        <f>X47*'PAG20 FE GE'!$E$2+Y47*'PAG20 FE GE'!$E$3+Z47*'PAG20 FE GE'!$E$4</f>
        <v>-355.2</v>
      </c>
      <c r="T47" s="17">
        <f>X47*'PAG100 FE GE'!$D$2+Y47*'PAG100 FE GE'!$D$3+Z47*'PAG100 FE GE'!$D$4</f>
        <v>-294</v>
      </c>
      <c r="U47" s="17">
        <f>X47*'PAG20 FE GE'!$D$2+Y47*'PAG20 FE GE'!$D$3+Z47*'PAG20 FE GE'!$D$4</f>
        <v>-350</v>
      </c>
      <c r="V47" s="17">
        <f>X47*'PAG100 FE GE'!$C$2+Y47*'PAG100 FE GE'!$C$3+Z47*'PAG100 FE GE'!$C$4</f>
        <v>-324</v>
      </c>
      <c r="W47" s="17">
        <f>X47*'PAG20 FE GE'!$C$2+Y47*'PAG20 FE GE'!$C$3+Z47*'PAG20 FE GE'!$C$4</f>
        <v>-362</v>
      </c>
      <c r="X47" s="17">
        <v>-1</v>
      </c>
      <c r="Y47" s="17">
        <v>-1</v>
      </c>
      <c r="Z47" s="17">
        <v>-1</v>
      </c>
      <c r="AA47" s="17">
        <f>AG47*'PAG100 FE GE'!$E$2+AH47*'PAG100 FE GE'!$E$3+AI47*'PAG100 FE GE'!$E$4</f>
        <v>-301.89999999999998</v>
      </c>
      <c r="AB47" s="17">
        <f>AG47*'PAG20 FE GE'!$E$2+AH47*'PAG20 FE GE'!$E$3+AI47*'PAG20 FE GE'!$E$4</f>
        <v>-355.2</v>
      </c>
      <c r="AC47" s="17">
        <f>AG47*'PAG100 FE GE'!$D$2+AH47*'PAG100 FE GE'!$D$3+AI47*'PAG100 FE GE'!$D$4</f>
        <v>-294</v>
      </c>
      <c r="AD47" s="17">
        <f>AG47*'PAG20 FE GE'!$D$2+AH47*'PAG20 FE GE'!$D$3+AI47*'PAG20 FE GE'!$D$4</f>
        <v>-350</v>
      </c>
      <c r="AE47" s="17">
        <f>AG47*'PAG100 FE GE'!$C$2+AH47*'PAG100 FE GE'!$C$3+AI47*'PAG100 FE GE'!$C$4</f>
        <v>-324</v>
      </c>
      <c r="AF47" s="17">
        <f>AG47*'PAG20 FE GE'!$C$2+AH47*'PAG20 FE GE'!$C$3+AI47*'PAG20 FE GE'!$C$4</f>
        <v>-362</v>
      </c>
      <c r="AG47" s="17">
        <v>-1</v>
      </c>
      <c r="AH47" s="17">
        <v>-1</v>
      </c>
      <c r="AI47" s="17">
        <v>-1</v>
      </c>
      <c r="AJ47" s="27">
        <v>-1</v>
      </c>
      <c r="AK47" t="s">
        <v>424</v>
      </c>
      <c r="AL47" t="s">
        <v>791</v>
      </c>
    </row>
    <row r="48" spans="1:38" ht="15.75" thickBot="1" x14ac:dyDescent="0.3">
      <c r="A48" s="4" t="s">
        <v>2</v>
      </c>
      <c r="B48" s="7" t="s">
        <v>15</v>
      </c>
      <c r="C48" s="5" t="s">
        <v>95</v>
      </c>
      <c r="D48" s="6" t="s">
        <v>6</v>
      </c>
      <c r="E48" s="6" t="str">
        <f t="shared" si="1"/>
        <v>Pesado de Passageiros M3: II : GNL : E6</v>
      </c>
      <c r="F48" s="6" t="s">
        <v>57</v>
      </c>
      <c r="G48" s="6" t="s">
        <v>96</v>
      </c>
      <c r="H48" s="9">
        <f>IF(G48="MJ",INDEX(Tabela1[Energia (MJ/Qtd.)],MATCH(C48,Tabela1[Fuel],0)),IF(G48="GJ",INDEX(Tabela1[Energia (GJ/Qtd.)2],MATCH(C48,Tabela1[Fuel],0)),"XXX"))</f>
        <v>4.8000000000000001E-2</v>
      </c>
      <c r="I48" s="17">
        <f>O48*'PAG100 FE GE'!$E$2+P48*'PAG100 FE GE'!$E$3+Q48*'PAG100 FE GE'!$E$4</f>
        <v>-301.89999999999998</v>
      </c>
      <c r="J48" s="17">
        <f>O48*'PAG20 FE GE'!$E$2+P48*'PAG20 FE GE'!$E$3+Q48*'PAG20 FE GE'!$E$4</f>
        <v>-355.2</v>
      </c>
      <c r="K48" s="17">
        <f>O48*'PAG100 FE GE'!$D$2+P48*'PAG100 FE GE'!$D$3+Q48*'PAG100 FE GE'!$D$4</f>
        <v>-294</v>
      </c>
      <c r="L48" s="17">
        <f>O48*'PAG20 FE GE'!$D$2+P48*'PAG20 FE GE'!$D$3+Q48*'PAG20 FE GE'!$D$4</f>
        <v>-350</v>
      </c>
      <c r="M48" s="17">
        <f>O48*'PAG100 FE GE'!$C$2+P48*'PAG100 FE GE'!$C$3+Q48*'PAG100 FE GE'!$C$4</f>
        <v>-324</v>
      </c>
      <c r="N48" s="17">
        <f>O48*'PAG20 FE GE'!$C$2+P48*'PAG20 FE GE'!$C$3+Q48*'PAG20 FE GE'!$C$4</f>
        <v>-362</v>
      </c>
      <c r="O48" s="17">
        <v>-1</v>
      </c>
      <c r="P48" s="17">
        <v>-1</v>
      </c>
      <c r="Q48" s="17">
        <v>-1</v>
      </c>
      <c r="R48" s="17">
        <f>X48*'PAG100 FE GE'!$E$2+Y48*'PAG100 FE GE'!$E$3+Z48*'PAG100 FE GE'!$E$4</f>
        <v>-301.89999999999998</v>
      </c>
      <c r="S48" s="17">
        <f>X48*'PAG20 FE GE'!$E$2+Y48*'PAG20 FE GE'!$E$3+Z48*'PAG20 FE GE'!$E$4</f>
        <v>-355.2</v>
      </c>
      <c r="T48" s="17">
        <f>X48*'PAG100 FE GE'!$D$2+Y48*'PAG100 FE GE'!$D$3+Z48*'PAG100 FE GE'!$D$4</f>
        <v>-294</v>
      </c>
      <c r="U48" s="17">
        <f>X48*'PAG20 FE GE'!$D$2+Y48*'PAG20 FE GE'!$D$3+Z48*'PAG20 FE GE'!$D$4</f>
        <v>-350</v>
      </c>
      <c r="V48" s="17">
        <f>X48*'PAG100 FE GE'!$C$2+Y48*'PAG100 FE GE'!$C$3+Z48*'PAG100 FE GE'!$C$4</f>
        <v>-324</v>
      </c>
      <c r="W48" s="17">
        <f>X48*'PAG20 FE GE'!$C$2+Y48*'PAG20 FE GE'!$C$3+Z48*'PAG20 FE GE'!$C$4</f>
        <v>-362</v>
      </c>
      <c r="X48" s="17">
        <v>-1</v>
      </c>
      <c r="Y48" s="17">
        <v>-1</v>
      </c>
      <c r="Z48" s="17">
        <v>-1</v>
      </c>
      <c r="AA48" s="17">
        <f>AG48*'PAG100 FE GE'!$E$2+AH48*'PAG100 FE GE'!$E$3+AI48*'PAG100 FE GE'!$E$4</f>
        <v>-301.89999999999998</v>
      </c>
      <c r="AB48" s="17">
        <f>AG48*'PAG20 FE GE'!$E$2+AH48*'PAG20 FE GE'!$E$3+AI48*'PAG20 FE GE'!$E$4</f>
        <v>-355.2</v>
      </c>
      <c r="AC48" s="17">
        <f>AG48*'PAG100 FE GE'!$D$2+AH48*'PAG100 FE GE'!$D$3+AI48*'PAG100 FE GE'!$D$4</f>
        <v>-294</v>
      </c>
      <c r="AD48" s="17">
        <f>AG48*'PAG20 FE GE'!$D$2+AH48*'PAG20 FE GE'!$D$3+AI48*'PAG20 FE GE'!$D$4</f>
        <v>-350</v>
      </c>
      <c r="AE48" s="17">
        <f>AG48*'PAG100 FE GE'!$C$2+AH48*'PAG100 FE GE'!$C$3+AI48*'PAG100 FE GE'!$C$4</f>
        <v>-324</v>
      </c>
      <c r="AF48" s="17">
        <f>AG48*'PAG20 FE GE'!$C$2+AH48*'PAG20 FE GE'!$C$3+AI48*'PAG20 FE GE'!$C$4</f>
        <v>-362</v>
      </c>
      <c r="AG48" s="17">
        <v>-1</v>
      </c>
      <c r="AH48" s="17">
        <v>-1</v>
      </c>
      <c r="AI48" s="17">
        <v>-1</v>
      </c>
      <c r="AJ48" s="27">
        <v>-1</v>
      </c>
      <c r="AK48" t="s">
        <v>424</v>
      </c>
      <c r="AL48" t="s">
        <v>791</v>
      </c>
    </row>
    <row r="49" spans="1:38" ht="15.75" thickBot="1" x14ac:dyDescent="0.3">
      <c r="A49" s="4" t="s">
        <v>2</v>
      </c>
      <c r="B49" s="7" t="s">
        <v>15</v>
      </c>
      <c r="C49" s="5" t="s">
        <v>95</v>
      </c>
      <c r="D49" s="6" t="s">
        <v>81</v>
      </c>
      <c r="E49" s="6" t="str">
        <f t="shared" si="1"/>
        <v>Pesado de Passageiros M3: II : GNL : E6 D/E E7</v>
      </c>
      <c r="F49" s="6" t="s">
        <v>57</v>
      </c>
      <c r="G49" s="6" t="s">
        <v>96</v>
      </c>
      <c r="H49" s="9">
        <f>IF(G49="MJ",INDEX(Tabela1[Energia (MJ/Qtd.)],MATCH(C49,Tabela1[Fuel],0)),IF(G49="GJ",INDEX(Tabela1[Energia (GJ/Qtd.)2],MATCH(C49,Tabela1[Fuel],0)),"XXX"))</f>
        <v>4.8000000000000001E-2</v>
      </c>
      <c r="I49" s="17">
        <f>O49*'PAG100 FE GE'!$E$2+P49*'PAG100 FE GE'!$E$3+Q49*'PAG100 FE GE'!$E$4</f>
        <v>-301.89999999999998</v>
      </c>
      <c r="J49" s="17">
        <f>O49*'PAG20 FE GE'!$E$2+P49*'PAG20 FE GE'!$E$3+Q49*'PAG20 FE GE'!$E$4</f>
        <v>-355.2</v>
      </c>
      <c r="K49" s="17">
        <f>O49*'PAG100 FE GE'!$D$2+P49*'PAG100 FE GE'!$D$3+Q49*'PAG100 FE GE'!$D$4</f>
        <v>-294</v>
      </c>
      <c r="L49" s="17">
        <f>O49*'PAG20 FE GE'!$D$2+P49*'PAG20 FE GE'!$D$3+Q49*'PAG20 FE GE'!$D$4</f>
        <v>-350</v>
      </c>
      <c r="M49" s="17">
        <f>O49*'PAG100 FE GE'!$C$2+P49*'PAG100 FE GE'!$C$3+Q49*'PAG100 FE GE'!$C$4</f>
        <v>-324</v>
      </c>
      <c r="N49" s="17">
        <f>O49*'PAG20 FE GE'!$C$2+P49*'PAG20 FE GE'!$C$3+Q49*'PAG20 FE GE'!$C$4</f>
        <v>-362</v>
      </c>
      <c r="O49" s="17">
        <v>-1</v>
      </c>
      <c r="P49" s="17">
        <v>-1</v>
      </c>
      <c r="Q49" s="17">
        <v>-1</v>
      </c>
      <c r="R49" s="17">
        <f>X49*'PAG100 FE GE'!$E$2+Y49*'PAG100 FE GE'!$E$3+Z49*'PAG100 FE GE'!$E$4</f>
        <v>-301.89999999999998</v>
      </c>
      <c r="S49" s="17">
        <f>X49*'PAG20 FE GE'!$E$2+Y49*'PAG20 FE GE'!$E$3+Z49*'PAG20 FE GE'!$E$4</f>
        <v>-355.2</v>
      </c>
      <c r="T49" s="17">
        <f>X49*'PAG100 FE GE'!$D$2+Y49*'PAG100 FE GE'!$D$3+Z49*'PAG100 FE GE'!$D$4</f>
        <v>-294</v>
      </c>
      <c r="U49" s="17">
        <f>X49*'PAG20 FE GE'!$D$2+Y49*'PAG20 FE GE'!$D$3+Z49*'PAG20 FE GE'!$D$4</f>
        <v>-350</v>
      </c>
      <c r="V49" s="17">
        <f>X49*'PAG100 FE GE'!$C$2+Y49*'PAG100 FE GE'!$C$3+Z49*'PAG100 FE GE'!$C$4</f>
        <v>-324</v>
      </c>
      <c r="W49" s="17">
        <f>X49*'PAG20 FE GE'!$C$2+Y49*'PAG20 FE GE'!$C$3+Z49*'PAG20 FE GE'!$C$4</f>
        <v>-362</v>
      </c>
      <c r="X49" s="17">
        <v>-1</v>
      </c>
      <c r="Y49" s="17">
        <v>-1</v>
      </c>
      <c r="Z49" s="17">
        <v>-1</v>
      </c>
      <c r="AA49" s="17">
        <f>AG49*'PAG100 FE GE'!$E$2+AH49*'PAG100 FE GE'!$E$3+AI49*'PAG100 FE GE'!$E$4</f>
        <v>-301.89999999999998</v>
      </c>
      <c r="AB49" s="17">
        <f>AG49*'PAG20 FE GE'!$E$2+AH49*'PAG20 FE GE'!$E$3+AI49*'PAG20 FE GE'!$E$4</f>
        <v>-355.2</v>
      </c>
      <c r="AC49" s="17">
        <f>AG49*'PAG100 FE GE'!$D$2+AH49*'PAG100 FE GE'!$D$3+AI49*'PAG100 FE GE'!$D$4</f>
        <v>-294</v>
      </c>
      <c r="AD49" s="17">
        <f>AG49*'PAG20 FE GE'!$D$2+AH49*'PAG20 FE GE'!$D$3+AI49*'PAG20 FE GE'!$D$4</f>
        <v>-350</v>
      </c>
      <c r="AE49" s="17">
        <f>AG49*'PAG100 FE GE'!$C$2+AH49*'PAG100 FE GE'!$C$3+AI49*'PAG100 FE GE'!$C$4</f>
        <v>-324</v>
      </c>
      <c r="AF49" s="17">
        <f>AG49*'PAG20 FE GE'!$C$2+AH49*'PAG20 FE GE'!$C$3+AI49*'PAG20 FE GE'!$C$4</f>
        <v>-362</v>
      </c>
      <c r="AG49" s="17">
        <v>-1</v>
      </c>
      <c r="AH49" s="17">
        <v>-1</v>
      </c>
      <c r="AI49" s="17">
        <v>-1</v>
      </c>
      <c r="AJ49" s="27">
        <v>-1</v>
      </c>
      <c r="AK49" t="s">
        <v>424</v>
      </c>
      <c r="AL49" t="s">
        <v>791</v>
      </c>
    </row>
    <row r="50" spans="1:38" ht="15.75" thickBot="1" x14ac:dyDescent="0.3">
      <c r="A50" s="4" t="s">
        <v>2</v>
      </c>
      <c r="B50" s="7" t="s">
        <v>14</v>
      </c>
      <c r="C50" s="5" t="s">
        <v>3</v>
      </c>
      <c r="D50" s="6" t="s">
        <v>8</v>
      </c>
      <c r="E50" s="6" t="str">
        <f t="shared" si="1"/>
        <v>Pesado de Passageiros M3: III : Gasóleo : E0</v>
      </c>
      <c r="F50" s="6" t="s">
        <v>55</v>
      </c>
      <c r="G50" s="6" t="s">
        <v>96</v>
      </c>
      <c r="H50" s="9">
        <f>IF(G50="MJ",INDEX(Tabela1[Energia (MJ/Qtd.)],MATCH(C50,Tabela1[Fuel],0)),IF(G50="GJ",INDEX(Tabela1[Energia (GJ/Qtd.)2],MATCH(C50,Tabela1[Fuel],0)),"XXX"))</f>
        <v>3.5868000000000004E-2</v>
      </c>
      <c r="I50" s="9">
        <f>O50*'PAG100 FE GE'!$E$2+P50*'PAG100 FE GE'!$E$3+Q50*'PAG100 FE GE'!$E$4</f>
        <v>75431.039999999994</v>
      </c>
      <c r="J50" s="9">
        <f>O50*'PAG20 FE GE'!$E$2+P50*'PAG20 FE GE'!$E$3+Q50*'PAG20 FE GE'!$E$4</f>
        <v>75836.12</v>
      </c>
      <c r="K50" s="9">
        <f>O50*'PAG100 FE GE'!$D$2+P50*'PAG100 FE GE'!$D$3+Q50*'PAG100 FE GE'!$D$4</f>
        <v>75407.8</v>
      </c>
      <c r="L50" s="9">
        <f>O50*'PAG20 FE GE'!$D$2+P50*'PAG20 FE GE'!$D$3+Q50*'PAG20 FE GE'!$D$4</f>
        <v>75838</v>
      </c>
      <c r="M50" s="9">
        <f>O50*'PAG100 FE GE'!$C$2+P50*'PAG100 FE GE'!$C$3+Q50*'PAG100 FE GE'!$C$4</f>
        <v>75484</v>
      </c>
      <c r="N50" s="9">
        <f>O50*'PAG20 FE GE'!$C$2+P50*'PAG20 FE GE'!$C$3+Q50*'PAG20 FE GE'!$C$4</f>
        <v>75814.2</v>
      </c>
      <c r="O50" s="9">
        <f>74.4*1000</f>
        <v>74400</v>
      </c>
      <c r="P50" s="9">
        <f>0.0076*1000</f>
        <v>7.6</v>
      </c>
      <c r="Q50" s="9">
        <f>0.003*1000</f>
        <v>3</v>
      </c>
      <c r="R50" s="9">
        <f>X50*'PAG100 FE GE'!$E$2+Y50*'PAG100 FE GE'!$E$3+Z50*'PAG100 FE GE'!$E$4</f>
        <v>2705.5605427200003</v>
      </c>
      <c r="S50" s="9">
        <f>X50*'PAG20 FE GE'!$E$2+Y50*'PAG20 FE GE'!$E$3+Z50*'PAG20 FE GE'!$E$4</f>
        <v>2720.0899521599999</v>
      </c>
      <c r="T50" s="9">
        <f>X50*'PAG100 FE GE'!$D$2+Y50*'PAG100 FE GE'!$D$3+Z50*'PAG100 FE GE'!$D$4</f>
        <v>2704.7269704000005</v>
      </c>
      <c r="U50" s="9">
        <f>X50*'PAG20 FE GE'!$D$2+Y50*'PAG20 FE GE'!$D$3+Z50*'PAG20 FE GE'!$D$4</f>
        <v>2720.1573840000001</v>
      </c>
      <c r="V50" s="9">
        <f>X50*'PAG100 FE GE'!$C$2+Y50*'PAG100 FE GE'!$C$3+Z50*'PAG100 FE GE'!$C$4</f>
        <v>2707.4601119999998</v>
      </c>
      <c r="W50" s="9">
        <f>X50*'PAG20 FE GE'!$C$2+Y50*'PAG20 FE GE'!$C$3+Z50*'PAG20 FE GE'!$C$4</f>
        <v>2719.3037256000002</v>
      </c>
      <c r="X50" s="9">
        <f t="shared" ref="X50:Z56" si="9">O50*$H50</f>
        <v>2668.5792000000001</v>
      </c>
      <c r="Y50" s="9">
        <f t="shared" si="9"/>
        <v>0.27259680000000003</v>
      </c>
      <c r="Z50" s="9">
        <f t="shared" si="9"/>
        <v>0.10760400000000001</v>
      </c>
      <c r="AA50" s="9">
        <f>AG50*'PAG100 FE GE'!$E$2+AH50*'PAG100 FE GE'!$E$3+AI50*'PAG100 FE GE'!$E$4</f>
        <v>743.61059100000011</v>
      </c>
      <c r="AB50" s="9">
        <f>AG50*'PAG20 FE GE'!$E$2+AH50*'PAG20 FE GE'!$E$3+AI50*'PAG20 FE GE'!$E$4</f>
        <v>747.62354800000014</v>
      </c>
      <c r="AC50" s="9">
        <f>AG50*'PAG100 FE GE'!$D$2+AH50*'PAG100 FE GE'!$D$3+AI50*'PAG100 FE GE'!$D$4</f>
        <v>743.37812000000008</v>
      </c>
      <c r="AD50" s="9">
        <f>AG50*'PAG20 FE GE'!$D$2+AH50*'PAG20 FE GE'!$D$3+AI50*'PAG20 FE GE'!$D$4</f>
        <v>747.63964999999996</v>
      </c>
      <c r="AE50" s="9">
        <f>AG50*'PAG100 FE GE'!$C$2+AH50*'PAG100 FE GE'!$C$3+AI50*'PAG100 FE GE'!$C$4</f>
        <v>744.1422500000001</v>
      </c>
      <c r="AF50" s="9">
        <f>AG50*'PAG20 FE GE'!$C$2+AH50*'PAG20 FE GE'!$C$3+AI50*'PAG20 FE GE'!$C$4</f>
        <v>747.41088000000002</v>
      </c>
      <c r="AG50" s="9">
        <v>733.32</v>
      </c>
      <c r="AH50" s="9">
        <f>75.29/1000</f>
        <v>7.529000000000001E-2</v>
      </c>
      <c r="AI50" s="9">
        <v>0.03</v>
      </c>
      <c r="AJ50" s="11">
        <f t="shared" ref="AJ50:AJ56" si="10">AG50/X50*100</f>
        <v>27.479791493540834</v>
      </c>
      <c r="AK50" t="s">
        <v>424</v>
      </c>
      <c r="AL50" t="s">
        <v>791</v>
      </c>
    </row>
    <row r="51" spans="1:38" ht="15.75" thickBot="1" x14ac:dyDescent="0.3">
      <c r="A51" s="4" t="s">
        <v>2</v>
      </c>
      <c r="B51" s="7" t="s">
        <v>14</v>
      </c>
      <c r="C51" s="5" t="s">
        <v>3</v>
      </c>
      <c r="D51" s="6" t="s">
        <v>7</v>
      </c>
      <c r="E51" s="6" t="str">
        <f t="shared" si="1"/>
        <v>Pesado de Passageiros M3: III : Gasóleo : E1</v>
      </c>
      <c r="F51" s="6" t="s">
        <v>55</v>
      </c>
      <c r="G51" s="6" t="s">
        <v>96</v>
      </c>
      <c r="H51" s="9">
        <f>IF(G51="MJ",INDEX(Tabela1[Energia (MJ/Qtd.)],MATCH(C51,Tabela1[Fuel],0)),IF(G51="GJ",INDEX(Tabela1[Energia (GJ/Qtd.)2],MATCH(C51,Tabela1[Fuel],0)),"XXX"))</f>
        <v>3.5868000000000004E-2</v>
      </c>
      <c r="I51" s="9">
        <f>O51*'PAG100 FE GE'!$E$2+P51*'PAG100 FE GE'!$E$3+Q51*'PAG100 FE GE'!$E$4</f>
        <v>74868.899999999994</v>
      </c>
      <c r="J51" s="9">
        <f>O51*'PAG20 FE GE'!$E$2+P51*'PAG20 FE GE'!$E$3+Q51*'PAG20 FE GE'!$E$4</f>
        <v>75295.3</v>
      </c>
      <c r="K51" s="9">
        <f>O51*'PAG100 FE GE'!$D$2+P51*'PAG100 FE GE'!$D$3+Q51*'PAG100 FE GE'!$D$4</f>
        <v>74862.5</v>
      </c>
      <c r="L51" s="9">
        <f>O51*'PAG20 FE GE'!$D$2+P51*'PAG20 FE GE'!$D$3+Q51*'PAG20 FE GE'!$D$4</f>
        <v>75317.600000000006</v>
      </c>
      <c r="M51" s="9">
        <f>O51*'PAG100 FE GE'!$C$2+P51*'PAG100 FE GE'!$C$3+Q51*'PAG100 FE GE'!$C$4</f>
        <v>74868.2</v>
      </c>
      <c r="N51" s="9">
        <f>O51*'PAG20 FE GE'!$C$2+P51*'PAG20 FE GE'!$C$3+Q51*'PAG20 FE GE'!$C$4</f>
        <v>75236.100000000006</v>
      </c>
      <c r="O51" s="9">
        <f>74.4*1000</f>
        <v>74400</v>
      </c>
      <c r="P51" s="9">
        <f>0.008*1000</f>
        <v>8</v>
      </c>
      <c r="Q51" s="9">
        <f>0.0009*1000</f>
        <v>0.9</v>
      </c>
      <c r="R51" s="9">
        <f>X51*'PAG100 FE GE'!$E$2+Y51*'PAG100 FE GE'!$E$3+Z51*'PAG100 FE GE'!$E$4</f>
        <v>2685.3977052</v>
      </c>
      <c r="S51" s="9">
        <f>X51*'PAG20 FE GE'!$E$2+Y51*'PAG20 FE GE'!$E$3+Z51*'PAG20 FE GE'!$E$4</f>
        <v>2700.6918203999999</v>
      </c>
      <c r="T51" s="9">
        <f>X51*'PAG100 FE GE'!$D$2+Y51*'PAG100 FE GE'!$D$3+Z51*'PAG100 FE GE'!$D$4</f>
        <v>2685.16815</v>
      </c>
      <c r="U51" s="9">
        <f>X51*'PAG20 FE GE'!$D$2+Y51*'PAG20 FE GE'!$D$3+Z51*'PAG20 FE GE'!$D$4</f>
        <v>2701.4916768000003</v>
      </c>
      <c r="V51" s="9">
        <f>X51*'PAG100 FE GE'!$C$2+Y51*'PAG100 FE GE'!$C$3+Z51*'PAG100 FE GE'!$C$4</f>
        <v>2685.3725976000001</v>
      </c>
      <c r="W51" s="9">
        <f>X51*'PAG20 FE GE'!$C$2+Y51*'PAG20 FE GE'!$C$3+Z51*'PAG20 FE GE'!$C$4</f>
        <v>2698.5684348</v>
      </c>
      <c r="X51" s="9">
        <f t="shared" si="9"/>
        <v>2668.5792000000001</v>
      </c>
      <c r="Y51" s="9">
        <f t="shared" si="9"/>
        <v>0.28694400000000003</v>
      </c>
      <c r="Z51" s="9">
        <f t="shared" si="9"/>
        <v>3.2281200000000003E-2</v>
      </c>
      <c r="AA51" s="9">
        <f>AG51*'PAG100 FE GE'!$E$2+AH51*'PAG100 FE GE'!$E$3+AI51*'PAG100 FE GE'!$E$4</f>
        <v>704.85097099999996</v>
      </c>
      <c r="AB51" s="9">
        <f>AG51*'PAG20 FE GE'!$E$2+AH51*'PAG20 FE GE'!$E$3+AI51*'PAG20 FE GE'!$E$4</f>
        <v>708.86392799999999</v>
      </c>
      <c r="AC51" s="9">
        <f>AG51*'PAG100 FE GE'!$D$2+AH51*'PAG100 FE GE'!$D$3+AI51*'PAG100 FE GE'!$D$4</f>
        <v>704.79401999999993</v>
      </c>
      <c r="AD51" s="9">
        <f>AG51*'PAG20 FE GE'!$D$2+AH51*'PAG20 FE GE'!$D$3+AI51*'PAG20 FE GE'!$D$4</f>
        <v>709.0774899999999</v>
      </c>
      <c r="AE51" s="9">
        <f>AG51*'PAG100 FE GE'!$C$2+AH51*'PAG100 FE GE'!$C$3+AI51*'PAG100 FE GE'!$C$4</f>
        <v>704.83412999999996</v>
      </c>
      <c r="AF51" s="9">
        <f>AG51*'PAG20 FE GE'!$C$2+AH51*'PAG20 FE GE'!$C$3+AI51*'PAG20 FE GE'!$C$4</f>
        <v>708.30021999999997</v>
      </c>
      <c r="AG51" s="9">
        <v>700.55</v>
      </c>
      <c r="AH51" s="9">
        <f>75.29/1000</f>
        <v>7.529000000000001E-2</v>
      </c>
      <c r="AI51" s="9">
        <f>8.06/1000</f>
        <v>8.0600000000000012E-3</v>
      </c>
      <c r="AJ51" s="11">
        <f t="shared" si="10"/>
        <v>26.251797211040241</v>
      </c>
      <c r="AK51" t="s">
        <v>424</v>
      </c>
      <c r="AL51" t="s">
        <v>791</v>
      </c>
    </row>
    <row r="52" spans="1:38" ht="15.75" thickBot="1" x14ac:dyDescent="0.3">
      <c r="A52" s="4" t="s">
        <v>2</v>
      </c>
      <c r="B52" s="7" t="s">
        <v>14</v>
      </c>
      <c r="C52" s="5" t="s">
        <v>3</v>
      </c>
      <c r="D52" s="6" t="s">
        <v>9</v>
      </c>
      <c r="E52" s="6" t="str">
        <f t="shared" si="1"/>
        <v>Pesado de Passageiros M3: III : Gasóleo : E2</v>
      </c>
      <c r="F52" s="6" t="s">
        <v>55</v>
      </c>
      <c r="G52" s="6" t="s">
        <v>96</v>
      </c>
      <c r="H52" s="9">
        <f>IF(G52="MJ",INDEX(Tabela1[Energia (MJ/Qtd.)],MATCH(C52,Tabela1[Fuel],0)),IF(G52="GJ",INDEX(Tabela1[Energia (GJ/Qtd.)2],MATCH(C52,Tabela1[Fuel],0)),"XXX"))</f>
        <v>3.5868000000000004E-2</v>
      </c>
      <c r="I52" s="9">
        <f>O52*'PAG100 FE GE'!$E$2+P52*'PAG100 FE GE'!$E$3+Q52*'PAG100 FE GE'!$E$4</f>
        <v>74763.48</v>
      </c>
      <c r="J52" s="9">
        <f>O52*'PAG20 FE GE'!$E$2+P52*'PAG20 FE GE'!$E$3+Q52*'PAG20 FE GE'!$E$4</f>
        <v>75040.639999999999</v>
      </c>
      <c r="K52" s="9">
        <f>O52*'PAG100 FE GE'!$D$2+P52*'PAG100 FE GE'!$D$3+Q52*'PAG100 FE GE'!$D$4</f>
        <v>74757.600000000006</v>
      </c>
      <c r="L52" s="9">
        <f>O52*'PAG20 FE GE'!$D$2+P52*'PAG20 FE GE'!$D$3+Q52*'PAG20 FE GE'!$D$4</f>
        <v>75053.2</v>
      </c>
      <c r="M52" s="9">
        <f>O52*'PAG100 FE GE'!$C$2+P52*'PAG100 FE GE'!$C$3+Q52*'PAG100 FE GE'!$C$4</f>
        <v>74768.399999999994</v>
      </c>
      <c r="N52" s="9">
        <f>O52*'PAG20 FE GE'!$C$2+P52*'PAG20 FE GE'!$C$3+Q52*'PAG20 FE GE'!$C$4</f>
        <v>75005.599999999991</v>
      </c>
      <c r="O52" s="9">
        <f>74.4*1000</f>
        <v>74400</v>
      </c>
      <c r="P52" s="9">
        <f>0.0052*1000</f>
        <v>5.2</v>
      </c>
      <c r="Q52" s="9">
        <f>0.0008*1000</f>
        <v>0.8</v>
      </c>
      <c r="R52" s="9">
        <f>X52*'PAG100 FE GE'!$E$2+Y52*'PAG100 FE GE'!$E$3+Z52*'PAG100 FE GE'!$E$4</f>
        <v>2681.6165006400001</v>
      </c>
      <c r="S52" s="9">
        <f>X52*'PAG20 FE GE'!$E$2+Y52*'PAG20 FE GE'!$E$3+Z52*'PAG20 FE GE'!$E$4</f>
        <v>2691.55767552</v>
      </c>
      <c r="T52" s="9">
        <f>X52*'PAG100 FE GE'!$D$2+Y52*'PAG100 FE GE'!$D$3+Z52*'PAG100 FE GE'!$D$4</f>
        <v>2681.4055968000002</v>
      </c>
      <c r="U52" s="9">
        <f>X52*'PAG20 FE GE'!$D$2+Y52*'PAG20 FE GE'!$D$3+Z52*'PAG20 FE GE'!$D$4</f>
        <v>2692.0081776000002</v>
      </c>
      <c r="V52" s="9">
        <f>X52*'PAG100 FE GE'!$C$2+Y52*'PAG100 FE GE'!$C$3+Z52*'PAG100 FE GE'!$C$4</f>
        <v>2681.7929712</v>
      </c>
      <c r="W52" s="9">
        <f>X52*'PAG20 FE GE'!$C$2+Y52*'PAG20 FE GE'!$C$3+Z52*'PAG20 FE GE'!$C$4</f>
        <v>2690.3008608</v>
      </c>
      <c r="X52" s="9">
        <f t="shared" si="9"/>
        <v>2668.5792000000001</v>
      </c>
      <c r="Y52" s="9">
        <f t="shared" si="9"/>
        <v>0.18651360000000003</v>
      </c>
      <c r="Z52" s="9">
        <f t="shared" si="9"/>
        <v>2.8694400000000005E-2</v>
      </c>
      <c r="AA52" s="9">
        <f>AG52*'PAG100 FE GE'!$E$2+AH52*'PAG100 FE GE'!$E$3+AI52*'PAG100 FE GE'!$E$4</f>
        <v>707.89749600000005</v>
      </c>
      <c r="AB52" s="9">
        <f>AG52*'PAG20 FE GE'!$E$2+AH52*'PAG20 FE GE'!$E$3+AI52*'PAG20 FE GE'!$E$4</f>
        <v>710.50599800000009</v>
      </c>
      <c r="AC52" s="9">
        <f>AG52*'PAG100 FE GE'!$D$2+AH52*'PAG100 FE GE'!$D$3+AI52*'PAG100 FE GE'!$D$4</f>
        <v>707.84167000000002</v>
      </c>
      <c r="AD52" s="9">
        <f>AG52*'PAG20 FE GE'!$D$2+AH52*'PAG20 FE GE'!$D$3+AI52*'PAG20 FE GE'!$D$4</f>
        <v>710.62365999999997</v>
      </c>
      <c r="AE52" s="9">
        <f>AG52*'PAG100 FE GE'!$C$2+AH52*'PAG100 FE GE'!$C$3+AI52*'PAG100 FE GE'!$C$4</f>
        <v>707.94531999999992</v>
      </c>
      <c r="AF52" s="9">
        <f>AG52*'PAG20 FE GE'!$C$2+AH52*'PAG20 FE GE'!$C$3+AI52*'PAG20 FE GE'!$C$4</f>
        <v>710.17719</v>
      </c>
      <c r="AG52" s="9">
        <v>704.46</v>
      </c>
      <c r="AH52" s="9">
        <f>48.94/1000</f>
        <v>4.8939999999999997E-2</v>
      </c>
      <c r="AI52" s="9">
        <f>7.59/1000</f>
        <v>7.5899999999999995E-3</v>
      </c>
      <c r="AJ52" s="11">
        <f t="shared" si="10"/>
        <v>26.398317126956545</v>
      </c>
      <c r="AK52" t="s">
        <v>424</v>
      </c>
      <c r="AL52" t="s">
        <v>791</v>
      </c>
    </row>
    <row r="53" spans="1:38" ht="15.75" thickBot="1" x14ac:dyDescent="0.3">
      <c r="A53" s="4" t="s">
        <v>2</v>
      </c>
      <c r="B53" s="7" t="s">
        <v>14</v>
      </c>
      <c r="C53" s="5" t="s">
        <v>3</v>
      </c>
      <c r="D53" s="6" t="s">
        <v>10</v>
      </c>
      <c r="E53" s="6" t="str">
        <f t="shared" si="1"/>
        <v>Pesado de Passageiros M3: III : Gasóleo : E3</v>
      </c>
      <c r="F53" s="6" t="s">
        <v>55</v>
      </c>
      <c r="G53" s="6" t="s">
        <v>96</v>
      </c>
      <c r="H53" s="9">
        <f>IF(G53="MJ",INDEX(Tabela1[Energia (MJ/Qtd.)],MATCH(C53,Tabela1[Fuel],0)),IF(G53="GJ",INDEX(Tabela1[Energia (GJ/Qtd.)2],MATCH(C53,Tabela1[Fuel],0)),"XXX"))</f>
        <v>3.5868000000000004E-2</v>
      </c>
      <c r="I53" s="9">
        <f>O53*'PAG100 FE GE'!$E$2+P53*'PAG100 FE GE'!$E$3+Q53*'PAG100 FE GE'!$E$4</f>
        <v>74667.63</v>
      </c>
      <c r="J53" s="9">
        <f>O53*'PAG20 FE GE'!$E$2+P53*'PAG20 FE GE'!$E$3+Q53*'PAG20 FE GE'!$E$4</f>
        <v>74918.14</v>
      </c>
      <c r="K53" s="9">
        <f>O53*'PAG100 FE GE'!$D$2+P53*'PAG100 FE GE'!$D$3+Q53*'PAG100 FE GE'!$D$4</f>
        <v>74664.100000000006</v>
      </c>
      <c r="L53" s="9">
        <f>O53*'PAG20 FE GE'!$D$2+P53*'PAG20 FE GE'!$D$3+Q53*'PAG20 FE GE'!$D$4</f>
        <v>74931.5</v>
      </c>
      <c r="M53" s="9">
        <f>O53*'PAG100 FE GE'!$C$2+P53*'PAG100 FE GE'!$C$3+Q53*'PAG100 FE GE'!$C$4</f>
        <v>74666.5</v>
      </c>
      <c r="N53" s="9">
        <f>O53*'PAG20 FE GE'!$C$2+P53*'PAG20 FE GE'!$C$3+Q53*'PAG20 FE GE'!$C$4</f>
        <v>74882.899999999994</v>
      </c>
      <c r="O53" s="9">
        <f>74.4*1000</f>
        <v>74400</v>
      </c>
      <c r="P53" s="9">
        <f>0.0047*1000</f>
        <v>4.7</v>
      </c>
      <c r="Q53" s="9">
        <f>0.0005*1000</f>
        <v>0.5</v>
      </c>
      <c r="R53" s="9">
        <f>X53*'PAG100 FE GE'!$E$2+Y53*'PAG100 FE GE'!$E$3+Z53*'PAG100 FE GE'!$E$4</f>
        <v>2678.1785528400001</v>
      </c>
      <c r="S53" s="9">
        <f>X53*'PAG20 FE GE'!$E$2+Y53*'PAG20 FE GE'!$E$3+Z53*'PAG20 FE GE'!$E$4</f>
        <v>2687.16384552</v>
      </c>
      <c r="T53" s="9">
        <f>X53*'PAG100 FE GE'!$D$2+Y53*'PAG100 FE GE'!$D$3+Z53*'PAG100 FE GE'!$D$4</f>
        <v>2678.0519387999998</v>
      </c>
      <c r="U53" s="9">
        <f>X53*'PAG20 FE GE'!$D$2+Y53*'PAG20 FE GE'!$D$3+Z53*'PAG20 FE GE'!$D$4</f>
        <v>2687.6430420000002</v>
      </c>
      <c r="V53" s="9">
        <f>X53*'PAG100 FE GE'!$C$2+Y53*'PAG100 FE GE'!$C$3+Z53*'PAG100 FE GE'!$C$4</f>
        <v>2678.1380220000001</v>
      </c>
      <c r="W53" s="9">
        <f>X53*'PAG20 FE GE'!$C$2+Y53*'PAG20 FE GE'!$C$3+Z53*'PAG20 FE GE'!$C$4</f>
        <v>2685.8998572</v>
      </c>
      <c r="X53" s="9">
        <f t="shared" si="9"/>
        <v>2668.5792000000001</v>
      </c>
      <c r="Y53" s="9">
        <f t="shared" si="9"/>
        <v>0.16857960000000002</v>
      </c>
      <c r="Z53" s="9">
        <f t="shared" si="9"/>
        <v>1.7934000000000002E-2</v>
      </c>
      <c r="AA53" s="9">
        <f>AG53*'PAG100 FE GE'!$E$2+AH53*'PAG100 FE GE'!$E$3+AI53*'PAG100 FE GE'!$E$4</f>
        <v>710.456008</v>
      </c>
      <c r="AB53" s="9">
        <f>AG53*'PAG20 FE GE'!$E$2+AH53*'PAG20 FE GE'!$E$3+AI53*'PAG20 FE GE'!$E$4</f>
        <v>712.82359399999996</v>
      </c>
      <c r="AC53" s="9">
        <f>AG53*'PAG100 FE GE'!$D$2+AH53*'PAG100 FE GE'!$D$3+AI53*'PAG100 FE GE'!$D$4</f>
        <v>710.42421000000002</v>
      </c>
      <c r="AD53" s="9">
        <f>AG53*'PAG20 FE GE'!$D$2+AH53*'PAG20 FE GE'!$D$3+AI53*'PAG20 FE GE'!$D$4</f>
        <v>712.95162000000005</v>
      </c>
      <c r="AE53" s="9">
        <f>AG53*'PAG100 FE GE'!$C$2+AH53*'PAG100 FE GE'!$C$3+AI53*'PAG100 FE GE'!$C$4</f>
        <v>710.44043999999997</v>
      </c>
      <c r="AF53" s="9">
        <f>AG53*'PAG20 FE GE'!$C$2+AH53*'PAG20 FE GE'!$C$3+AI53*'PAG20 FE GE'!$C$4</f>
        <v>712.48741000000007</v>
      </c>
      <c r="AG53" s="9">
        <v>707.98</v>
      </c>
      <c r="AH53" s="9">
        <f>44.42/1000</f>
        <v>4.4420000000000001E-2</v>
      </c>
      <c r="AI53" s="9">
        <f>4.53/1000</f>
        <v>4.5300000000000002E-3</v>
      </c>
      <c r="AJ53" s="11">
        <f t="shared" si="10"/>
        <v>26.530222524405495</v>
      </c>
      <c r="AK53" t="s">
        <v>424</v>
      </c>
      <c r="AL53" t="s">
        <v>791</v>
      </c>
    </row>
    <row r="54" spans="1:38" ht="15.75" thickBot="1" x14ac:dyDescent="0.3">
      <c r="A54" s="4" t="s">
        <v>2</v>
      </c>
      <c r="B54" s="7" t="s">
        <v>14</v>
      </c>
      <c r="C54" s="5" t="s">
        <v>3</v>
      </c>
      <c r="D54" s="6" t="s">
        <v>4</v>
      </c>
      <c r="E54" s="6" t="str">
        <f t="shared" si="1"/>
        <v>Pesado de Passageiros M3: III : Gasóleo : E4</v>
      </c>
      <c r="F54" s="6" t="s">
        <v>55</v>
      </c>
      <c r="G54" s="6" t="s">
        <v>96</v>
      </c>
      <c r="H54" s="9">
        <f>IF(G54="MJ",INDEX(Tabela1[Energia (MJ/Qtd.)],MATCH(C54,Tabela1[Fuel],0)),IF(G54="GJ",INDEX(Tabela1[Energia (GJ/Qtd.)2],MATCH(C54,Tabela1[Fuel],0)),"XXX"))</f>
        <v>3.5868000000000004E-2</v>
      </c>
      <c r="I54" s="9">
        <f>O54*'PAG100 FE GE'!$E$2+P54*'PAG100 FE GE'!$E$3+Q54*'PAG100 FE GE'!$E$4</f>
        <v>75090.48</v>
      </c>
      <c r="J54" s="9">
        <f>O54*'PAG20 FE GE'!$E$2+P54*'PAG20 FE GE'!$E$3+Q54*'PAG20 FE GE'!$E$4</f>
        <v>75101.14</v>
      </c>
      <c r="K54" s="9">
        <f>O54*'PAG100 FE GE'!$D$2+P54*'PAG100 FE GE'!$D$3+Q54*'PAG100 FE GE'!$D$4</f>
        <v>75080.100000000006</v>
      </c>
      <c r="L54" s="9">
        <f>O54*'PAG20 FE GE'!$D$2+P54*'PAG20 FE GE'!$D$3+Q54*'PAG20 FE GE'!$D$4</f>
        <v>75090.2</v>
      </c>
      <c r="M54" s="9">
        <f>O54*'PAG100 FE GE'!$C$2+P54*'PAG100 FE GE'!$C$3+Q54*'PAG100 FE GE'!$C$4</f>
        <v>75122.399999999994</v>
      </c>
      <c r="N54" s="9">
        <f>O54*'PAG20 FE GE'!$C$2+P54*'PAG20 FE GE'!$C$3+Q54*'PAG20 FE GE'!$C$4</f>
        <v>75120.099999999991</v>
      </c>
      <c r="O54" s="9">
        <f>74.73*1000</f>
        <v>74730</v>
      </c>
      <c r="P54" s="9">
        <f>0.0002*1000</f>
        <v>0.2</v>
      </c>
      <c r="Q54" s="9">
        <f>0.0013*1000</f>
        <v>1.3</v>
      </c>
      <c r="R54" s="9">
        <f>X54*'PAG100 FE GE'!$E$2+Y54*'PAG100 FE GE'!$E$3+Z54*'PAG100 FE GE'!$E$4</f>
        <v>2693.3453366399999</v>
      </c>
      <c r="S54" s="9">
        <f>X54*'PAG20 FE GE'!$E$2+Y54*'PAG20 FE GE'!$E$3+Z54*'PAG20 FE GE'!$E$4</f>
        <v>2693.7276895199998</v>
      </c>
      <c r="T54" s="9">
        <f>X54*'PAG100 FE GE'!$D$2+Y54*'PAG100 FE GE'!$D$3+Z54*'PAG100 FE GE'!$D$4</f>
        <v>2692.9730268000003</v>
      </c>
      <c r="U54" s="9">
        <f>X54*'PAG20 FE GE'!$D$2+Y54*'PAG20 FE GE'!$D$3+Z54*'PAG20 FE GE'!$D$4</f>
        <v>2693.3352936000001</v>
      </c>
      <c r="V54" s="9">
        <f>X54*'PAG100 FE GE'!$C$2+Y54*'PAG100 FE GE'!$C$3+Z54*'PAG100 FE GE'!$C$4</f>
        <v>2694.4902432000004</v>
      </c>
      <c r="W54" s="9">
        <f>X54*'PAG20 FE GE'!$C$2+Y54*'PAG20 FE GE'!$C$3+Z54*'PAG20 FE GE'!$C$4</f>
        <v>2694.4077468</v>
      </c>
      <c r="X54" s="9">
        <f t="shared" si="9"/>
        <v>2680.4156400000002</v>
      </c>
      <c r="Y54" s="9">
        <f t="shared" si="9"/>
        <v>7.1736000000000013E-3</v>
      </c>
      <c r="Z54" s="9">
        <f t="shared" si="9"/>
        <v>4.6628400000000007E-2</v>
      </c>
      <c r="AA54" s="9">
        <f>AG54*'PAG100 FE GE'!$E$2+AH54*'PAG100 FE GE'!$E$3+AI54*'PAG100 FE GE'!$E$4</f>
        <v>711.74196399999994</v>
      </c>
      <c r="AB54" s="9">
        <f>AG54*'PAG20 FE GE'!$E$2+AH54*'PAG20 FE GE'!$E$3+AI54*'PAG20 FE GE'!$E$4</f>
        <v>711.86242199999992</v>
      </c>
      <c r="AC54" s="9">
        <f>AG54*'PAG100 FE GE'!$D$2+AH54*'PAG100 FE GE'!$D$3+AI54*'PAG100 FE GE'!$D$4</f>
        <v>711.64082999999994</v>
      </c>
      <c r="AD54" s="9">
        <f>AG54*'PAG20 FE GE'!$D$2+AH54*'PAG20 FE GE'!$D$3+AI54*'PAG20 FE GE'!$D$4</f>
        <v>711.75698</v>
      </c>
      <c r="AE54" s="9">
        <f>AG54*'PAG100 FE GE'!$C$2+AH54*'PAG100 FE GE'!$C$3+AI54*'PAG100 FE GE'!$C$4</f>
        <v>712.05216000000007</v>
      </c>
      <c r="AF54" s="9">
        <f>AG54*'PAG20 FE GE'!$C$2+AH54*'PAG20 FE GE'!$C$3+AI54*'PAG20 FE GE'!$C$4</f>
        <v>712.04435000000001</v>
      </c>
      <c r="AG54" s="9">
        <v>708.22</v>
      </c>
      <c r="AH54" s="9">
        <f>2.26/1000</f>
        <v>2.2599999999999999E-3</v>
      </c>
      <c r="AI54" s="9">
        <f>12.67/1000</f>
        <v>1.2670000000000001E-2</v>
      </c>
      <c r="AJ54" s="11">
        <f t="shared" si="10"/>
        <v>26.422021623482244</v>
      </c>
      <c r="AK54" t="s">
        <v>424</v>
      </c>
      <c r="AL54" t="s">
        <v>791</v>
      </c>
    </row>
    <row r="55" spans="1:38" ht="15.75" thickBot="1" x14ac:dyDescent="0.3">
      <c r="A55" s="4" t="s">
        <v>2</v>
      </c>
      <c r="B55" s="7" t="s">
        <v>14</v>
      </c>
      <c r="C55" s="5" t="s">
        <v>3</v>
      </c>
      <c r="D55" s="6" t="s">
        <v>5</v>
      </c>
      <c r="E55" s="6" t="str">
        <f t="shared" si="1"/>
        <v>Pesado de Passageiros M3: III : Gasóleo : E5</v>
      </c>
      <c r="F55" s="6" t="s">
        <v>55</v>
      </c>
      <c r="G55" s="6" t="s">
        <v>96</v>
      </c>
      <c r="H55" s="9">
        <f>IF(G55="MJ",INDEX(Tabela1[Energia (MJ/Qtd.)],MATCH(C55,Tabela1[Fuel],0)),IF(G55="GJ",INDEX(Tabela1[Energia (GJ/Qtd.)2],MATCH(C55,Tabela1[Fuel],0)),"XXX"))</f>
        <v>3.5868000000000004E-2</v>
      </c>
      <c r="I55" s="9">
        <f>O55*'PAG100 FE GE'!$E$2+P55*'PAG100 FE GE'!$E$3+Q55*'PAG100 FE GE'!$E$4</f>
        <v>75745.680000000008</v>
      </c>
      <c r="J55" s="9">
        <f>O55*'PAG20 FE GE'!$E$2+P55*'PAG20 FE GE'!$E$3+Q55*'PAG20 FE GE'!$E$4</f>
        <v>75756.340000000011</v>
      </c>
      <c r="K55" s="9">
        <f>O55*'PAG100 FE GE'!$D$2+P55*'PAG100 FE GE'!$D$3+Q55*'PAG100 FE GE'!$D$4</f>
        <v>75716.100000000006</v>
      </c>
      <c r="L55" s="9">
        <f>O55*'PAG20 FE GE'!$D$2+P55*'PAG20 FE GE'!$D$3+Q55*'PAG20 FE GE'!$D$4</f>
        <v>75723.8</v>
      </c>
      <c r="M55" s="9">
        <f>O55*'PAG100 FE GE'!$C$2+P55*'PAG100 FE GE'!$C$3+Q55*'PAG100 FE GE'!$C$4</f>
        <v>75837.600000000006</v>
      </c>
      <c r="N55" s="9">
        <f>O55*'PAG20 FE GE'!$C$2+P55*'PAG20 FE GE'!$C$3+Q55*'PAG20 FE GE'!$C$4</f>
        <v>75813.7</v>
      </c>
      <c r="O55" s="9">
        <f>74.73*1000</f>
        <v>74730</v>
      </c>
      <c r="P55" s="9">
        <f>0.0002*1000</f>
        <v>0.2</v>
      </c>
      <c r="Q55" s="9">
        <f>0.0037*1000</f>
        <v>3.7</v>
      </c>
      <c r="R55" s="9">
        <f>X55*'PAG100 FE GE'!$E$2+Y55*'PAG100 FE GE'!$E$3+Z55*'PAG100 FE GE'!$E$4</f>
        <v>2716.8460502400003</v>
      </c>
      <c r="S55" s="9">
        <f>X55*'PAG20 FE GE'!$E$2+Y55*'PAG20 FE GE'!$E$3+Z55*'PAG20 FE GE'!$E$4</f>
        <v>2717.2284031200002</v>
      </c>
      <c r="T55" s="9">
        <f>X55*'PAG100 FE GE'!$D$2+Y55*'PAG100 FE GE'!$D$3+Z55*'PAG100 FE GE'!$D$4</f>
        <v>2715.7850748000001</v>
      </c>
      <c r="U55" s="9">
        <f>X55*'PAG20 FE GE'!$D$2+Y55*'PAG20 FE GE'!$D$3+Z55*'PAG20 FE GE'!$D$4</f>
        <v>2716.0612584</v>
      </c>
      <c r="V55" s="9">
        <f>X55*'PAG100 FE GE'!$C$2+Y55*'PAG100 FE GE'!$C$3+Z55*'PAG100 FE GE'!$C$4</f>
        <v>2720.1430368000001</v>
      </c>
      <c r="W55" s="9">
        <f>X55*'PAG20 FE GE'!$C$2+Y55*'PAG20 FE GE'!$C$3+Z55*'PAG20 FE GE'!$C$4</f>
        <v>2719.2857916000003</v>
      </c>
      <c r="X55" s="9">
        <f t="shared" si="9"/>
        <v>2680.4156400000002</v>
      </c>
      <c r="Y55" s="9">
        <f t="shared" si="9"/>
        <v>7.1736000000000013E-3</v>
      </c>
      <c r="Z55" s="9">
        <f t="shared" si="9"/>
        <v>0.13271160000000001</v>
      </c>
      <c r="AA55" s="9">
        <f>AG55*'PAG100 FE GE'!$E$2+AH55*'PAG100 FE GE'!$E$3+AI55*'PAG100 FE GE'!$E$4</f>
        <v>757.70862399999999</v>
      </c>
      <c r="AB55" s="9">
        <f>AG55*'PAG20 FE GE'!$E$2+AH55*'PAG20 FE GE'!$E$3+AI55*'PAG20 FE GE'!$E$4</f>
        <v>757.82908199999997</v>
      </c>
      <c r="AC55" s="9">
        <f>AG55*'PAG100 FE GE'!$D$2+AH55*'PAG100 FE GE'!$D$3+AI55*'PAG100 FE GE'!$D$4</f>
        <v>757.41212999999993</v>
      </c>
      <c r="AD55" s="9">
        <f>AG55*'PAG20 FE GE'!$D$2+AH55*'PAG20 FE GE'!$D$3+AI55*'PAG20 FE GE'!$D$4</f>
        <v>757.50385999999992</v>
      </c>
      <c r="AE55" s="9">
        <f>AG55*'PAG100 FE GE'!$C$2+AH55*'PAG100 FE GE'!$C$3+AI55*'PAG100 FE GE'!$C$4</f>
        <v>758.62932000000001</v>
      </c>
      <c r="AF55" s="9">
        <f>AG55*'PAG20 FE GE'!$C$2+AH55*'PAG20 FE GE'!$C$3+AI55*'PAG20 FE GE'!$C$4</f>
        <v>758.40173000000004</v>
      </c>
      <c r="AG55" s="9">
        <v>747.52</v>
      </c>
      <c r="AH55" s="9">
        <f>2.26/1000</f>
        <v>2.2599999999999999E-3</v>
      </c>
      <c r="AI55" s="9">
        <f>37.09/1000</f>
        <v>3.7090000000000005E-2</v>
      </c>
      <c r="AJ55" s="11">
        <f t="shared" si="10"/>
        <v>27.888212143098816</v>
      </c>
      <c r="AK55" t="s">
        <v>424</v>
      </c>
      <c r="AL55" t="s">
        <v>791</v>
      </c>
    </row>
    <row r="56" spans="1:38" ht="15.75" thickBot="1" x14ac:dyDescent="0.3">
      <c r="A56" s="4" t="s">
        <v>2</v>
      </c>
      <c r="B56" s="7" t="s">
        <v>14</v>
      </c>
      <c r="C56" s="5" t="s">
        <v>3</v>
      </c>
      <c r="D56" s="6" t="s">
        <v>6</v>
      </c>
      <c r="E56" s="6" t="str">
        <f t="shared" si="1"/>
        <v>Pesado de Passageiros M3: III : Gasóleo : E6</v>
      </c>
      <c r="F56" s="6" t="s">
        <v>55</v>
      </c>
      <c r="G56" s="6" t="s">
        <v>96</v>
      </c>
      <c r="H56" s="9">
        <f>IF(G56="MJ",INDEX(Tabela1[Energia (MJ/Qtd.)],MATCH(C56,Tabela1[Fuel],0)),IF(G56="GJ",INDEX(Tabela1[Energia (GJ/Qtd.)2],MATCH(C56,Tabela1[Fuel],0)),"XXX"))</f>
        <v>3.5868000000000004E-2</v>
      </c>
      <c r="I56" s="9">
        <f>O56*'PAG100 FE GE'!$E$2+P56*'PAG100 FE GE'!$E$3+Q56*'PAG100 FE GE'!$E$4</f>
        <v>75583.78</v>
      </c>
      <c r="J56" s="9">
        <f>O56*'PAG20 FE GE'!$E$2+P56*'PAG20 FE GE'!$E$3+Q56*'PAG20 FE GE'!$E$4</f>
        <v>75594.44</v>
      </c>
      <c r="K56" s="9">
        <f>O56*'PAG100 FE GE'!$D$2+P56*'PAG100 FE GE'!$D$3+Q56*'PAG100 FE GE'!$D$4</f>
        <v>75556.600000000006</v>
      </c>
      <c r="L56" s="9">
        <f>O56*'PAG20 FE GE'!$D$2+P56*'PAG20 FE GE'!$D$3+Q56*'PAG20 FE GE'!$D$4</f>
        <v>75564.600000000006</v>
      </c>
      <c r="M56" s="9">
        <f>O56*'PAG100 FE GE'!$C$2+P56*'PAG100 FE GE'!$C$3+Q56*'PAG100 FE GE'!$C$4</f>
        <v>75668.2</v>
      </c>
      <c r="N56" s="9">
        <f>O56*'PAG20 FE GE'!$C$2+P56*'PAG20 FE GE'!$C$3+Q56*'PAG20 FE GE'!$C$4</f>
        <v>75647</v>
      </c>
      <c r="O56" s="9">
        <f>74.65*1000</f>
        <v>74650</v>
      </c>
      <c r="P56" s="9">
        <f>0.0002*1000</f>
        <v>0.2</v>
      </c>
      <c r="Q56" s="9">
        <f>0.0034*1000</f>
        <v>3.4</v>
      </c>
      <c r="R56" s="9">
        <f>X56*'PAG100 FE GE'!$E$2+Y56*'PAG100 FE GE'!$E$3+Z56*'PAG100 FE GE'!$E$4</f>
        <v>2711.0390210400001</v>
      </c>
      <c r="S56" s="9">
        <f>X56*'PAG20 FE GE'!$E$2+Y56*'PAG20 FE GE'!$E$3+Z56*'PAG20 FE GE'!$E$4</f>
        <v>2711.42137392</v>
      </c>
      <c r="T56" s="9">
        <f>X56*'PAG100 FE GE'!$D$2+Y56*'PAG100 FE GE'!$D$3+Z56*'PAG100 FE GE'!$D$4</f>
        <v>2710.0641288000002</v>
      </c>
      <c r="U56" s="9">
        <f>X56*'PAG20 FE GE'!$D$2+Y56*'PAG20 FE GE'!$D$3+Z56*'PAG20 FE GE'!$D$4</f>
        <v>2710.3510728000001</v>
      </c>
      <c r="V56" s="9">
        <f>X56*'PAG100 FE GE'!$C$2+Y56*'PAG100 FE GE'!$C$3+Z56*'PAG100 FE GE'!$C$4</f>
        <v>2714.0669976000004</v>
      </c>
      <c r="W56" s="9">
        <f>X56*'PAG20 FE GE'!$C$2+Y56*'PAG20 FE GE'!$C$3+Z56*'PAG20 FE GE'!$C$4</f>
        <v>2713.3065960000004</v>
      </c>
      <c r="X56" s="9">
        <f t="shared" si="9"/>
        <v>2677.5462000000002</v>
      </c>
      <c r="Y56" s="9">
        <f t="shared" si="9"/>
        <v>7.1736000000000013E-3</v>
      </c>
      <c r="Z56" s="9">
        <f t="shared" si="9"/>
        <v>0.12195120000000001</v>
      </c>
      <c r="AA56" s="9">
        <f>AG56*'PAG100 FE GE'!$E$2+AH56*'PAG100 FE GE'!$E$3+AI56*'PAG100 FE GE'!$E$4</f>
        <v>763.524224</v>
      </c>
      <c r="AB56" s="9">
        <f>AG56*'PAG20 FE GE'!$E$2+AH56*'PAG20 FE GE'!$E$3+AI56*'PAG20 FE GE'!$E$4</f>
        <v>763.64468199999999</v>
      </c>
      <c r="AC56" s="9">
        <f>AG56*'PAG100 FE GE'!$D$2+AH56*'PAG100 FE GE'!$D$3+AI56*'PAG100 FE GE'!$D$4</f>
        <v>763.25013000000001</v>
      </c>
      <c r="AD56" s="9">
        <f>AG56*'PAG20 FE GE'!$D$2+AH56*'PAG20 FE GE'!$D$3+AI56*'PAG20 FE GE'!$D$4</f>
        <v>763.34465999999998</v>
      </c>
      <c r="AE56" s="9">
        <f>AG56*'PAG100 FE GE'!$C$2+AH56*'PAG100 FE GE'!$C$3+AI56*'PAG100 FE GE'!$C$4</f>
        <v>764.37492000000009</v>
      </c>
      <c r="AF56" s="9">
        <f>AG56*'PAG20 FE GE'!$C$2+AH56*'PAG20 FE GE'!$C$3+AI56*'PAG20 FE GE'!$C$4</f>
        <v>764.17253000000005</v>
      </c>
      <c r="AG56" s="9">
        <v>754.1</v>
      </c>
      <c r="AH56" s="9">
        <f>2.26/1000</f>
        <v>2.2599999999999999E-3</v>
      </c>
      <c r="AI56" s="9">
        <f>34.29/1000</f>
        <v>3.4290000000000001E-2</v>
      </c>
      <c r="AJ56" s="11">
        <f t="shared" si="10"/>
        <v>28.163846435217437</v>
      </c>
      <c r="AK56" t="s">
        <v>424</v>
      </c>
      <c r="AL56" t="s">
        <v>791</v>
      </c>
    </row>
    <row r="57" spans="1:38" ht="15.75" thickBot="1" x14ac:dyDescent="0.3">
      <c r="A57" s="4" t="s">
        <v>2</v>
      </c>
      <c r="B57" s="7" t="s">
        <v>14</v>
      </c>
      <c r="C57" s="5" t="s">
        <v>3</v>
      </c>
      <c r="D57" s="6" t="s">
        <v>81</v>
      </c>
      <c r="E57" s="6" t="str">
        <f t="shared" si="1"/>
        <v>Pesado de Passageiros M3: III : Gasóleo : E6 D/E E7</v>
      </c>
      <c r="F57" s="6" t="s">
        <v>55</v>
      </c>
      <c r="G57" s="6" t="s">
        <v>96</v>
      </c>
      <c r="H57" s="9">
        <f>IF(G57="MJ",INDEX(Tabela1[Energia (MJ/Qtd.)],MATCH(C57,Tabela1[Fuel],0)),IF(G57="GJ",INDEX(Tabela1[Energia (GJ/Qtd.)2],MATCH(C57,Tabela1[Fuel],0)),"XXX"))</f>
        <v>3.5868000000000004E-2</v>
      </c>
      <c r="I57" s="17">
        <f>O57*'PAG100 FE GE'!$E$2+P57*'PAG100 FE GE'!$E$3+Q57*'PAG100 FE GE'!$E$4</f>
        <v>-301.89999999999998</v>
      </c>
      <c r="J57" s="17">
        <f>O57*'PAG20 FE GE'!$E$2+P57*'PAG20 FE GE'!$E$3+Q57*'PAG20 FE GE'!$E$4</f>
        <v>-355.2</v>
      </c>
      <c r="K57" s="17">
        <f>O57*'PAG100 FE GE'!$D$2+P57*'PAG100 FE GE'!$D$3+Q57*'PAG100 FE GE'!$D$4</f>
        <v>-294</v>
      </c>
      <c r="L57" s="17">
        <f>O57*'PAG20 FE GE'!$D$2+P57*'PAG20 FE GE'!$D$3+Q57*'PAG20 FE GE'!$D$4</f>
        <v>-350</v>
      </c>
      <c r="M57" s="17">
        <f>O57*'PAG100 FE GE'!$C$2+P57*'PAG100 FE GE'!$C$3+Q57*'PAG100 FE GE'!$C$4</f>
        <v>-324</v>
      </c>
      <c r="N57" s="17">
        <f>O57*'PAG20 FE GE'!$C$2+P57*'PAG20 FE GE'!$C$3+Q57*'PAG20 FE GE'!$C$4</f>
        <v>-362</v>
      </c>
      <c r="O57" s="17">
        <v>-1</v>
      </c>
      <c r="P57" s="17">
        <v>-1</v>
      </c>
      <c r="Q57" s="17">
        <v>-1</v>
      </c>
      <c r="R57" s="17">
        <f>X57*'PAG100 FE GE'!$E$2+Y57*'PAG100 FE GE'!$E$3+Z57*'PAG100 FE GE'!$E$4</f>
        <v>-301.89999999999998</v>
      </c>
      <c r="S57" s="17">
        <f>X57*'PAG20 FE GE'!$E$2+Y57*'PAG20 FE GE'!$E$3+Z57*'PAG20 FE GE'!$E$4</f>
        <v>-355.2</v>
      </c>
      <c r="T57" s="17">
        <f>X57*'PAG100 FE GE'!$D$2+Y57*'PAG100 FE GE'!$D$3+Z57*'PAG100 FE GE'!$D$4</f>
        <v>-294</v>
      </c>
      <c r="U57" s="17">
        <f>X57*'PAG20 FE GE'!$D$2+Y57*'PAG20 FE GE'!$D$3+Z57*'PAG20 FE GE'!$D$4</f>
        <v>-350</v>
      </c>
      <c r="V57" s="17">
        <f>X57*'PAG100 FE GE'!$C$2+Y57*'PAG100 FE GE'!$C$3+Z57*'PAG100 FE GE'!$C$4</f>
        <v>-324</v>
      </c>
      <c r="W57" s="17">
        <f>X57*'PAG20 FE GE'!$C$2+Y57*'PAG20 FE GE'!$C$3+Z57*'PAG20 FE GE'!$C$4</f>
        <v>-362</v>
      </c>
      <c r="X57" s="17">
        <v>-1</v>
      </c>
      <c r="Y57" s="17">
        <v>-1</v>
      </c>
      <c r="Z57" s="17">
        <v>-1</v>
      </c>
      <c r="AA57" s="17">
        <f>AG57*'PAG100 FE GE'!$E$2+AH57*'PAG100 FE GE'!$E$3+AI57*'PAG100 FE GE'!$E$4</f>
        <v>-301.89999999999998</v>
      </c>
      <c r="AB57" s="17">
        <f>AG57*'PAG20 FE GE'!$E$2+AH57*'PAG20 FE GE'!$E$3+AI57*'PAG20 FE GE'!$E$4</f>
        <v>-355.2</v>
      </c>
      <c r="AC57" s="17">
        <f>AG57*'PAG100 FE GE'!$D$2+AH57*'PAG100 FE GE'!$D$3+AI57*'PAG100 FE GE'!$D$4</f>
        <v>-294</v>
      </c>
      <c r="AD57" s="17">
        <f>AG57*'PAG20 FE GE'!$D$2+AH57*'PAG20 FE GE'!$D$3+AI57*'PAG20 FE GE'!$D$4</f>
        <v>-350</v>
      </c>
      <c r="AE57" s="17">
        <f>AG57*'PAG100 FE GE'!$C$2+AH57*'PAG100 FE GE'!$C$3+AI57*'PAG100 FE GE'!$C$4</f>
        <v>-324</v>
      </c>
      <c r="AF57" s="17">
        <f>AG57*'PAG20 FE GE'!$C$2+AH57*'PAG20 FE GE'!$C$3+AI57*'PAG20 FE GE'!$C$4</f>
        <v>-362</v>
      </c>
      <c r="AG57" s="17">
        <v>-1</v>
      </c>
      <c r="AH57" s="17">
        <v>-1</v>
      </c>
      <c r="AI57" s="17">
        <v>-1</v>
      </c>
      <c r="AJ57" s="27">
        <v>-1</v>
      </c>
      <c r="AK57" t="s">
        <v>424</v>
      </c>
      <c r="AL57" t="s">
        <v>791</v>
      </c>
    </row>
    <row r="58" spans="1:38" ht="15.75" thickBot="1" x14ac:dyDescent="0.3">
      <c r="A58" s="4" t="s">
        <v>2</v>
      </c>
      <c r="B58" s="7" t="s">
        <v>14</v>
      </c>
      <c r="C58" s="5" t="s">
        <v>92</v>
      </c>
      <c r="D58" s="6" t="s">
        <v>8</v>
      </c>
      <c r="E58" s="6" t="str">
        <f t="shared" si="1"/>
        <v>Pesado de Passageiros M3: III : GNC : E0</v>
      </c>
      <c r="F58" s="6" t="s">
        <v>56</v>
      </c>
      <c r="G58" s="6" t="s">
        <v>96</v>
      </c>
      <c r="H58" s="9">
        <f>IF(G58="MJ",INDEX(Tabela1[Energia (MJ/Qtd.)],MATCH(C58,Tabela1[Fuel],0)),IF(G58="GJ",INDEX(Tabela1[Energia (GJ/Qtd.)2],MATCH(C58,Tabela1[Fuel],0)),"XXX"))</f>
        <v>3.7521600000000002E-2</v>
      </c>
      <c r="I58" s="17">
        <f>O58*'PAG100 FE GE'!$E$2+P58*'PAG100 FE GE'!$E$3+Q58*'PAG100 FE GE'!$E$4</f>
        <v>-301.89999999999998</v>
      </c>
      <c r="J58" s="17">
        <f>O58*'PAG20 FE GE'!$E$2+P58*'PAG20 FE GE'!$E$3+Q58*'PAG20 FE GE'!$E$4</f>
        <v>-355.2</v>
      </c>
      <c r="K58" s="17">
        <f>O58*'PAG100 FE GE'!$D$2+P58*'PAG100 FE GE'!$D$3+Q58*'PAG100 FE GE'!$D$4</f>
        <v>-294</v>
      </c>
      <c r="L58" s="17">
        <f>O58*'PAG20 FE GE'!$D$2+P58*'PAG20 FE GE'!$D$3+Q58*'PAG20 FE GE'!$D$4</f>
        <v>-350</v>
      </c>
      <c r="M58" s="17">
        <f>O58*'PAG100 FE GE'!$C$2+P58*'PAG100 FE GE'!$C$3+Q58*'PAG100 FE GE'!$C$4</f>
        <v>-324</v>
      </c>
      <c r="N58" s="17">
        <f>O58*'PAG20 FE GE'!$C$2+P58*'PAG20 FE GE'!$C$3+Q58*'PAG20 FE GE'!$C$4</f>
        <v>-362</v>
      </c>
      <c r="O58" s="17">
        <v>-1</v>
      </c>
      <c r="P58" s="17">
        <v>-1</v>
      </c>
      <c r="Q58" s="17">
        <v>-1</v>
      </c>
      <c r="R58" s="17">
        <f>X58*'PAG100 FE GE'!$E$2+Y58*'PAG100 FE GE'!$E$3+Z58*'PAG100 FE GE'!$E$4</f>
        <v>-301.89999999999998</v>
      </c>
      <c r="S58" s="17">
        <f>X58*'PAG20 FE GE'!$E$2+Y58*'PAG20 FE GE'!$E$3+Z58*'PAG20 FE GE'!$E$4</f>
        <v>-355.2</v>
      </c>
      <c r="T58" s="17">
        <f>X58*'PAG100 FE GE'!$D$2+Y58*'PAG100 FE GE'!$D$3+Z58*'PAG100 FE GE'!$D$4</f>
        <v>-294</v>
      </c>
      <c r="U58" s="17">
        <f>X58*'PAG20 FE GE'!$D$2+Y58*'PAG20 FE GE'!$D$3+Z58*'PAG20 FE GE'!$D$4</f>
        <v>-350</v>
      </c>
      <c r="V58" s="17">
        <f>X58*'PAG100 FE GE'!$C$2+Y58*'PAG100 FE GE'!$C$3+Z58*'PAG100 FE GE'!$C$4</f>
        <v>-324</v>
      </c>
      <c r="W58" s="17">
        <f>X58*'PAG20 FE GE'!$C$2+Y58*'PAG20 FE GE'!$C$3+Z58*'PAG20 FE GE'!$C$4</f>
        <v>-362</v>
      </c>
      <c r="X58" s="17">
        <v>-1</v>
      </c>
      <c r="Y58" s="17">
        <v>-1</v>
      </c>
      <c r="Z58" s="17">
        <v>-1</v>
      </c>
      <c r="AA58" s="17">
        <f>AG58*'PAG100 FE GE'!$E$2+AH58*'PAG100 FE GE'!$E$3+AI58*'PAG100 FE GE'!$E$4</f>
        <v>-301.89999999999998</v>
      </c>
      <c r="AB58" s="17">
        <f>AG58*'PAG20 FE GE'!$E$2+AH58*'PAG20 FE GE'!$E$3+AI58*'PAG20 FE GE'!$E$4</f>
        <v>-355.2</v>
      </c>
      <c r="AC58" s="17">
        <f>AG58*'PAG100 FE GE'!$D$2+AH58*'PAG100 FE GE'!$D$3+AI58*'PAG100 FE GE'!$D$4</f>
        <v>-294</v>
      </c>
      <c r="AD58" s="17">
        <f>AG58*'PAG20 FE GE'!$D$2+AH58*'PAG20 FE GE'!$D$3+AI58*'PAG20 FE GE'!$D$4</f>
        <v>-350</v>
      </c>
      <c r="AE58" s="17">
        <f>AG58*'PAG100 FE GE'!$C$2+AH58*'PAG100 FE GE'!$C$3+AI58*'PAG100 FE GE'!$C$4</f>
        <v>-324</v>
      </c>
      <c r="AF58" s="17">
        <f>AG58*'PAG20 FE GE'!$C$2+AH58*'PAG20 FE GE'!$C$3+AI58*'PAG20 FE GE'!$C$4</f>
        <v>-362</v>
      </c>
      <c r="AG58" s="17">
        <v>-1</v>
      </c>
      <c r="AH58" s="17">
        <v>-1</v>
      </c>
      <c r="AI58" s="17">
        <v>-1</v>
      </c>
      <c r="AJ58" s="27">
        <v>-1</v>
      </c>
      <c r="AK58" t="s">
        <v>424</v>
      </c>
      <c r="AL58" t="s">
        <v>791</v>
      </c>
    </row>
    <row r="59" spans="1:38" ht="15.75" thickBot="1" x14ac:dyDescent="0.3">
      <c r="A59" s="4" t="s">
        <v>2</v>
      </c>
      <c r="B59" s="7" t="s">
        <v>14</v>
      </c>
      <c r="C59" s="5" t="s">
        <v>92</v>
      </c>
      <c r="D59" s="6" t="s">
        <v>7</v>
      </c>
      <c r="E59" s="6" t="str">
        <f t="shared" si="1"/>
        <v>Pesado de Passageiros M3: III : GNC : E1</v>
      </c>
      <c r="F59" s="6" t="s">
        <v>56</v>
      </c>
      <c r="G59" s="6" t="s">
        <v>96</v>
      </c>
      <c r="H59" s="9">
        <f>IF(G59="MJ",INDEX(Tabela1[Energia (MJ/Qtd.)],MATCH(C59,Tabela1[Fuel],0)),IF(G59="GJ",INDEX(Tabela1[Energia (GJ/Qtd.)2],MATCH(C59,Tabela1[Fuel],0)),"XXX"))</f>
        <v>3.7521600000000002E-2</v>
      </c>
      <c r="I59" s="17">
        <f>O59*'PAG100 FE GE'!$E$2+P59*'PAG100 FE GE'!$E$3+Q59*'PAG100 FE GE'!$E$4</f>
        <v>-301.89999999999998</v>
      </c>
      <c r="J59" s="17">
        <f>O59*'PAG20 FE GE'!$E$2+P59*'PAG20 FE GE'!$E$3+Q59*'PAG20 FE GE'!$E$4</f>
        <v>-355.2</v>
      </c>
      <c r="K59" s="17">
        <f>O59*'PAG100 FE GE'!$D$2+P59*'PAG100 FE GE'!$D$3+Q59*'PAG100 FE GE'!$D$4</f>
        <v>-294</v>
      </c>
      <c r="L59" s="17">
        <f>O59*'PAG20 FE GE'!$D$2+P59*'PAG20 FE GE'!$D$3+Q59*'PAG20 FE GE'!$D$4</f>
        <v>-350</v>
      </c>
      <c r="M59" s="17">
        <f>O59*'PAG100 FE GE'!$C$2+P59*'PAG100 FE GE'!$C$3+Q59*'PAG100 FE GE'!$C$4</f>
        <v>-324</v>
      </c>
      <c r="N59" s="17">
        <f>O59*'PAG20 FE GE'!$C$2+P59*'PAG20 FE GE'!$C$3+Q59*'PAG20 FE GE'!$C$4</f>
        <v>-362</v>
      </c>
      <c r="O59" s="17">
        <v>-1</v>
      </c>
      <c r="P59" s="17">
        <v>-1</v>
      </c>
      <c r="Q59" s="17">
        <v>-1</v>
      </c>
      <c r="R59" s="17">
        <f>X59*'PAG100 FE GE'!$E$2+Y59*'PAG100 FE GE'!$E$3+Z59*'PAG100 FE GE'!$E$4</f>
        <v>-301.89999999999998</v>
      </c>
      <c r="S59" s="17">
        <f>X59*'PAG20 FE GE'!$E$2+Y59*'PAG20 FE GE'!$E$3+Z59*'PAG20 FE GE'!$E$4</f>
        <v>-355.2</v>
      </c>
      <c r="T59" s="17">
        <f>X59*'PAG100 FE GE'!$D$2+Y59*'PAG100 FE GE'!$D$3+Z59*'PAG100 FE GE'!$D$4</f>
        <v>-294</v>
      </c>
      <c r="U59" s="17">
        <f>X59*'PAG20 FE GE'!$D$2+Y59*'PAG20 FE GE'!$D$3+Z59*'PAG20 FE GE'!$D$4</f>
        <v>-350</v>
      </c>
      <c r="V59" s="17">
        <f>X59*'PAG100 FE GE'!$C$2+Y59*'PAG100 FE GE'!$C$3+Z59*'PAG100 FE GE'!$C$4</f>
        <v>-324</v>
      </c>
      <c r="W59" s="17">
        <f>X59*'PAG20 FE GE'!$C$2+Y59*'PAG20 FE GE'!$C$3+Z59*'PAG20 FE GE'!$C$4</f>
        <v>-362</v>
      </c>
      <c r="X59" s="17">
        <v>-1</v>
      </c>
      <c r="Y59" s="17">
        <v>-1</v>
      </c>
      <c r="Z59" s="17">
        <v>-1</v>
      </c>
      <c r="AA59" s="17">
        <f>AG59*'PAG100 FE GE'!$E$2+AH59*'PAG100 FE GE'!$E$3+AI59*'PAG100 FE GE'!$E$4</f>
        <v>-301.89999999999998</v>
      </c>
      <c r="AB59" s="17">
        <f>AG59*'PAG20 FE GE'!$E$2+AH59*'PAG20 FE GE'!$E$3+AI59*'PAG20 FE GE'!$E$4</f>
        <v>-355.2</v>
      </c>
      <c r="AC59" s="17">
        <f>AG59*'PAG100 FE GE'!$D$2+AH59*'PAG100 FE GE'!$D$3+AI59*'PAG100 FE GE'!$D$4</f>
        <v>-294</v>
      </c>
      <c r="AD59" s="17">
        <f>AG59*'PAG20 FE GE'!$D$2+AH59*'PAG20 FE GE'!$D$3+AI59*'PAG20 FE GE'!$D$4</f>
        <v>-350</v>
      </c>
      <c r="AE59" s="17">
        <f>AG59*'PAG100 FE GE'!$C$2+AH59*'PAG100 FE GE'!$C$3+AI59*'PAG100 FE GE'!$C$4</f>
        <v>-324</v>
      </c>
      <c r="AF59" s="17">
        <f>AG59*'PAG20 FE GE'!$C$2+AH59*'PAG20 FE GE'!$C$3+AI59*'PAG20 FE GE'!$C$4</f>
        <v>-362</v>
      </c>
      <c r="AG59" s="17">
        <v>-1</v>
      </c>
      <c r="AH59" s="17">
        <v>-1</v>
      </c>
      <c r="AI59" s="17">
        <v>-1</v>
      </c>
      <c r="AJ59" s="27">
        <v>-1</v>
      </c>
      <c r="AK59" t="s">
        <v>424</v>
      </c>
      <c r="AL59" t="s">
        <v>791</v>
      </c>
    </row>
    <row r="60" spans="1:38" ht="15.75" thickBot="1" x14ac:dyDescent="0.3">
      <c r="A60" s="4" t="s">
        <v>2</v>
      </c>
      <c r="B60" s="7" t="s">
        <v>14</v>
      </c>
      <c r="C60" s="5" t="s">
        <v>92</v>
      </c>
      <c r="D60" s="6" t="s">
        <v>9</v>
      </c>
      <c r="E60" s="6" t="str">
        <f t="shared" si="1"/>
        <v>Pesado de Passageiros M3: III : GNC : E2</v>
      </c>
      <c r="F60" s="6" t="s">
        <v>56</v>
      </c>
      <c r="G60" s="6" t="s">
        <v>96</v>
      </c>
      <c r="H60" s="9">
        <f>IF(G60="MJ",INDEX(Tabela1[Energia (MJ/Qtd.)],MATCH(C60,Tabela1[Fuel],0)),IF(G60="GJ",INDEX(Tabela1[Energia (GJ/Qtd.)2],MATCH(C60,Tabela1[Fuel],0)),"XXX"))</f>
        <v>3.7521600000000002E-2</v>
      </c>
      <c r="I60" s="17">
        <f>O60*'PAG100 FE GE'!$E$2+P60*'PAG100 FE GE'!$E$3+Q60*'PAG100 FE GE'!$E$4</f>
        <v>-301.89999999999998</v>
      </c>
      <c r="J60" s="17">
        <f>O60*'PAG20 FE GE'!$E$2+P60*'PAG20 FE GE'!$E$3+Q60*'PAG20 FE GE'!$E$4</f>
        <v>-355.2</v>
      </c>
      <c r="K60" s="17">
        <f>O60*'PAG100 FE GE'!$D$2+P60*'PAG100 FE GE'!$D$3+Q60*'PAG100 FE GE'!$D$4</f>
        <v>-294</v>
      </c>
      <c r="L60" s="17">
        <f>O60*'PAG20 FE GE'!$D$2+P60*'PAG20 FE GE'!$D$3+Q60*'PAG20 FE GE'!$D$4</f>
        <v>-350</v>
      </c>
      <c r="M60" s="17">
        <f>O60*'PAG100 FE GE'!$C$2+P60*'PAG100 FE GE'!$C$3+Q60*'PAG100 FE GE'!$C$4</f>
        <v>-324</v>
      </c>
      <c r="N60" s="17">
        <f>O60*'PAG20 FE GE'!$C$2+P60*'PAG20 FE GE'!$C$3+Q60*'PAG20 FE GE'!$C$4</f>
        <v>-362</v>
      </c>
      <c r="O60" s="17">
        <v>-1</v>
      </c>
      <c r="P60" s="17">
        <v>-1</v>
      </c>
      <c r="Q60" s="17">
        <v>-1</v>
      </c>
      <c r="R60" s="17">
        <f>X60*'PAG100 FE GE'!$E$2+Y60*'PAG100 FE GE'!$E$3+Z60*'PAG100 FE GE'!$E$4</f>
        <v>-301.89999999999998</v>
      </c>
      <c r="S60" s="17">
        <f>X60*'PAG20 FE GE'!$E$2+Y60*'PAG20 FE GE'!$E$3+Z60*'PAG20 FE GE'!$E$4</f>
        <v>-355.2</v>
      </c>
      <c r="T60" s="17">
        <f>X60*'PAG100 FE GE'!$D$2+Y60*'PAG100 FE GE'!$D$3+Z60*'PAG100 FE GE'!$D$4</f>
        <v>-294</v>
      </c>
      <c r="U60" s="17">
        <f>X60*'PAG20 FE GE'!$D$2+Y60*'PAG20 FE GE'!$D$3+Z60*'PAG20 FE GE'!$D$4</f>
        <v>-350</v>
      </c>
      <c r="V60" s="17">
        <f>X60*'PAG100 FE GE'!$C$2+Y60*'PAG100 FE GE'!$C$3+Z60*'PAG100 FE GE'!$C$4</f>
        <v>-324</v>
      </c>
      <c r="W60" s="17">
        <f>X60*'PAG20 FE GE'!$C$2+Y60*'PAG20 FE GE'!$C$3+Z60*'PAG20 FE GE'!$C$4</f>
        <v>-362</v>
      </c>
      <c r="X60" s="17">
        <v>-1</v>
      </c>
      <c r="Y60" s="17">
        <v>-1</v>
      </c>
      <c r="Z60" s="17">
        <v>-1</v>
      </c>
      <c r="AA60" s="17">
        <f>AG60*'PAG100 FE GE'!$E$2+AH60*'PAG100 FE GE'!$E$3+AI60*'PAG100 FE GE'!$E$4</f>
        <v>-301.89999999999998</v>
      </c>
      <c r="AB60" s="17">
        <f>AG60*'PAG20 FE GE'!$E$2+AH60*'PAG20 FE GE'!$E$3+AI60*'PAG20 FE GE'!$E$4</f>
        <v>-355.2</v>
      </c>
      <c r="AC60" s="17">
        <f>AG60*'PAG100 FE GE'!$D$2+AH60*'PAG100 FE GE'!$D$3+AI60*'PAG100 FE GE'!$D$4</f>
        <v>-294</v>
      </c>
      <c r="AD60" s="17">
        <f>AG60*'PAG20 FE GE'!$D$2+AH60*'PAG20 FE GE'!$D$3+AI60*'PAG20 FE GE'!$D$4</f>
        <v>-350</v>
      </c>
      <c r="AE60" s="17">
        <f>AG60*'PAG100 FE GE'!$C$2+AH60*'PAG100 FE GE'!$C$3+AI60*'PAG100 FE GE'!$C$4</f>
        <v>-324</v>
      </c>
      <c r="AF60" s="17">
        <f>AG60*'PAG20 FE GE'!$C$2+AH60*'PAG20 FE GE'!$C$3+AI60*'PAG20 FE GE'!$C$4</f>
        <v>-362</v>
      </c>
      <c r="AG60" s="17">
        <v>-1</v>
      </c>
      <c r="AH60" s="17">
        <v>-1</v>
      </c>
      <c r="AI60" s="17">
        <v>-1</v>
      </c>
      <c r="AJ60" s="27">
        <v>-1</v>
      </c>
      <c r="AK60" t="s">
        <v>424</v>
      </c>
      <c r="AL60" t="s">
        <v>791</v>
      </c>
    </row>
    <row r="61" spans="1:38" ht="15.75" thickBot="1" x14ac:dyDescent="0.3">
      <c r="A61" s="4" t="s">
        <v>2</v>
      </c>
      <c r="B61" s="7" t="s">
        <v>14</v>
      </c>
      <c r="C61" s="5" t="s">
        <v>92</v>
      </c>
      <c r="D61" s="6" t="s">
        <v>10</v>
      </c>
      <c r="E61" s="6" t="str">
        <f t="shared" si="1"/>
        <v>Pesado de Passageiros M3: III : GNC : E3</v>
      </c>
      <c r="F61" s="6" t="s">
        <v>56</v>
      </c>
      <c r="G61" s="6" t="s">
        <v>96</v>
      </c>
      <c r="H61" s="9">
        <f>IF(G61="MJ",INDEX(Tabela1[Energia (MJ/Qtd.)],MATCH(C61,Tabela1[Fuel],0)),IF(G61="GJ",INDEX(Tabela1[Energia (GJ/Qtd.)2],MATCH(C61,Tabela1[Fuel],0)),"XXX"))</f>
        <v>3.7521600000000002E-2</v>
      </c>
      <c r="I61" s="17">
        <f>O61*'PAG100 FE GE'!$E$2+P61*'PAG100 FE GE'!$E$3+Q61*'PAG100 FE GE'!$E$4</f>
        <v>-301.89999999999998</v>
      </c>
      <c r="J61" s="17">
        <f>O61*'PAG20 FE GE'!$E$2+P61*'PAG20 FE GE'!$E$3+Q61*'PAG20 FE GE'!$E$4</f>
        <v>-355.2</v>
      </c>
      <c r="K61" s="17">
        <f>O61*'PAG100 FE GE'!$D$2+P61*'PAG100 FE GE'!$D$3+Q61*'PAG100 FE GE'!$D$4</f>
        <v>-294</v>
      </c>
      <c r="L61" s="17">
        <f>O61*'PAG20 FE GE'!$D$2+P61*'PAG20 FE GE'!$D$3+Q61*'PAG20 FE GE'!$D$4</f>
        <v>-350</v>
      </c>
      <c r="M61" s="17">
        <f>O61*'PAG100 FE GE'!$C$2+P61*'PAG100 FE GE'!$C$3+Q61*'PAG100 FE GE'!$C$4</f>
        <v>-324</v>
      </c>
      <c r="N61" s="17">
        <f>O61*'PAG20 FE GE'!$C$2+P61*'PAG20 FE GE'!$C$3+Q61*'PAG20 FE GE'!$C$4</f>
        <v>-362</v>
      </c>
      <c r="O61" s="17">
        <v>-1</v>
      </c>
      <c r="P61" s="17">
        <v>-1</v>
      </c>
      <c r="Q61" s="17">
        <v>-1</v>
      </c>
      <c r="R61" s="17">
        <f>X61*'PAG100 FE GE'!$E$2+Y61*'PAG100 FE GE'!$E$3+Z61*'PAG100 FE GE'!$E$4</f>
        <v>-301.89999999999998</v>
      </c>
      <c r="S61" s="17">
        <f>X61*'PAG20 FE GE'!$E$2+Y61*'PAG20 FE GE'!$E$3+Z61*'PAG20 FE GE'!$E$4</f>
        <v>-355.2</v>
      </c>
      <c r="T61" s="17">
        <f>X61*'PAG100 FE GE'!$D$2+Y61*'PAG100 FE GE'!$D$3+Z61*'PAG100 FE GE'!$D$4</f>
        <v>-294</v>
      </c>
      <c r="U61" s="17">
        <f>X61*'PAG20 FE GE'!$D$2+Y61*'PAG20 FE GE'!$D$3+Z61*'PAG20 FE GE'!$D$4</f>
        <v>-350</v>
      </c>
      <c r="V61" s="17">
        <f>X61*'PAG100 FE GE'!$C$2+Y61*'PAG100 FE GE'!$C$3+Z61*'PAG100 FE GE'!$C$4</f>
        <v>-324</v>
      </c>
      <c r="W61" s="17">
        <f>X61*'PAG20 FE GE'!$C$2+Y61*'PAG20 FE GE'!$C$3+Z61*'PAG20 FE GE'!$C$4</f>
        <v>-362</v>
      </c>
      <c r="X61" s="17">
        <v>-1</v>
      </c>
      <c r="Y61" s="17">
        <v>-1</v>
      </c>
      <c r="Z61" s="17">
        <v>-1</v>
      </c>
      <c r="AA61" s="17">
        <f>AG61*'PAG100 FE GE'!$E$2+AH61*'PAG100 FE GE'!$E$3+AI61*'PAG100 FE GE'!$E$4</f>
        <v>-301.89999999999998</v>
      </c>
      <c r="AB61" s="17">
        <f>AG61*'PAG20 FE GE'!$E$2+AH61*'PAG20 FE GE'!$E$3+AI61*'PAG20 FE GE'!$E$4</f>
        <v>-355.2</v>
      </c>
      <c r="AC61" s="17">
        <f>AG61*'PAG100 FE GE'!$D$2+AH61*'PAG100 FE GE'!$D$3+AI61*'PAG100 FE GE'!$D$4</f>
        <v>-294</v>
      </c>
      <c r="AD61" s="17">
        <f>AG61*'PAG20 FE GE'!$D$2+AH61*'PAG20 FE GE'!$D$3+AI61*'PAG20 FE GE'!$D$4</f>
        <v>-350</v>
      </c>
      <c r="AE61" s="17">
        <f>AG61*'PAG100 FE GE'!$C$2+AH61*'PAG100 FE GE'!$C$3+AI61*'PAG100 FE GE'!$C$4</f>
        <v>-324</v>
      </c>
      <c r="AF61" s="17">
        <f>AG61*'PAG20 FE GE'!$C$2+AH61*'PAG20 FE GE'!$C$3+AI61*'PAG20 FE GE'!$C$4</f>
        <v>-362</v>
      </c>
      <c r="AG61" s="17">
        <v>-1</v>
      </c>
      <c r="AH61" s="17">
        <v>-1</v>
      </c>
      <c r="AI61" s="17">
        <v>-1</v>
      </c>
      <c r="AJ61" s="27">
        <v>-1</v>
      </c>
      <c r="AK61" t="s">
        <v>424</v>
      </c>
      <c r="AL61" t="s">
        <v>791</v>
      </c>
    </row>
    <row r="62" spans="1:38" ht="15.75" thickBot="1" x14ac:dyDescent="0.3">
      <c r="A62" s="4" t="s">
        <v>2</v>
      </c>
      <c r="B62" s="7" t="s">
        <v>14</v>
      </c>
      <c r="C62" s="5" t="s">
        <v>92</v>
      </c>
      <c r="D62" s="6" t="s">
        <v>4</v>
      </c>
      <c r="E62" s="6" t="str">
        <f t="shared" si="1"/>
        <v>Pesado de Passageiros M3: III : GNC : E4</v>
      </c>
      <c r="F62" s="6" t="s">
        <v>56</v>
      </c>
      <c r="G62" s="6" t="s">
        <v>96</v>
      </c>
      <c r="H62" s="9">
        <f>IF(G62="MJ",INDEX(Tabela1[Energia (MJ/Qtd.)],MATCH(C62,Tabela1[Fuel],0)),IF(G62="GJ",INDEX(Tabela1[Energia (GJ/Qtd.)2],MATCH(C62,Tabela1[Fuel],0)),"XXX"))</f>
        <v>3.7521600000000002E-2</v>
      </c>
      <c r="I62" s="17">
        <f>O62*'PAG100 FE GE'!$E$2+P62*'PAG100 FE GE'!$E$3+Q62*'PAG100 FE GE'!$E$4</f>
        <v>-301.89999999999998</v>
      </c>
      <c r="J62" s="17">
        <f>O62*'PAG20 FE GE'!$E$2+P62*'PAG20 FE GE'!$E$3+Q62*'PAG20 FE GE'!$E$4</f>
        <v>-355.2</v>
      </c>
      <c r="K62" s="17">
        <f>O62*'PAG100 FE GE'!$D$2+P62*'PAG100 FE GE'!$D$3+Q62*'PAG100 FE GE'!$D$4</f>
        <v>-294</v>
      </c>
      <c r="L62" s="17">
        <f>O62*'PAG20 FE GE'!$D$2+P62*'PAG20 FE GE'!$D$3+Q62*'PAG20 FE GE'!$D$4</f>
        <v>-350</v>
      </c>
      <c r="M62" s="17">
        <f>O62*'PAG100 FE GE'!$C$2+P62*'PAG100 FE GE'!$C$3+Q62*'PAG100 FE GE'!$C$4</f>
        <v>-324</v>
      </c>
      <c r="N62" s="17">
        <f>O62*'PAG20 FE GE'!$C$2+P62*'PAG20 FE GE'!$C$3+Q62*'PAG20 FE GE'!$C$4</f>
        <v>-362</v>
      </c>
      <c r="O62" s="17">
        <v>-1</v>
      </c>
      <c r="P62" s="17">
        <v>-1</v>
      </c>
      <c r="Q62" s="17">
        <v>-1</v>
      </c>
      <c r="R62" s="17">
        <f>X62*'PAG100 FE GE'!$E$2+Y62*'PAG100 FE GE'!$E$3+Z62*'PAG100 FE GE'!$E$4</f>
        <v>-301.89999999999998</v>
      </c>
      <c r="S62" s="17">
        <f>X62*'PAG20 FE GE'!$E$2+Y62*'PAG20 FE GE'!$E$3+Z62*'PAG20 FE GE'!$E$4</f>
        <v>-355.2</v>
      </c>
      <c r="T62" s="17">
        <f>X62*'PAG100 FE GE'!$D$2+Y62*'PAG100 FE GE'!$D$3+Z62*'PAG100 FE GE'!$D$4</f>
        <v>-294</v>
      </c>
      <c r="U62" s="17">
        <f>X62*'PAG20 FE GE'!$D$2+Y62*'PAG20 FE GE'!$D$3+Z62*'PAG20 FE GE'!$D$4</f>
        <v>-350</v>
      </c>
      <c r="V62" s="17">
        <f>X62*'PAG100 FE GE'!$C$2+Y62*'PAG100 FE GE'!$C$3+Z62*'PAG100 FE GE'!$C$4</f>
        <v>-324</v>
      </c>
      <c r="W62" s="17">
        <f>X62*'PAG20 FE GE'!$C$2+Y62*'PAG20 FE GE'!$C$3+Z62*'PAG20 FE GE'!$C$4</f>
        <v>-362</v>
      </c>
      <c r="X62" s="17">
        <v>-1</v>
      </c>
      <c r="Y62" s="17">
        <v>-1</v>
      </c>
      <c r="Z62" s="17">
        <v>-1</v>
      </c>
      <c r="AA62" s="17">
        <f>AG62*'PAG100 FE GE'!$E$2+AH62*'PAG100 FE GE'!$E$3+AI62*'PAG100 FE GE'!$E$4</f>
        <v>-301.89999999999998</v>
      </c>
      <c r="AB62" s="17">
        <f>AG62*'PAG20 FE GE'!$E$2+AH62*'PAG20 FE GE'!$E$3+AI62*'PAG20 FE GE'!$E$4</f>
        <v>-355.2</v>
      </c>
      <c r="AC62" s="17">
        <f>AG62*'PAG100 FE GE'!$D$2+AH62*'PAG100 FE GE'!$D$3+AI62*'PAG100 FE GE'!$D$4</f>
        <v>-294</v>
      </c>
      <c r="AD62" s="17">
        <f>AG62*'PAG20 FE GE'!$D$2+AH62*'PAG20 FE GE'!$D$3+AI62*'PAG20 FE GE'!$D$4</f>
        <v>-350</v>
      </c>
      <c r="AE62" s="17">
        <f>AG62*'PAG100 FE GE'!$C$2+AH62*'PAG100 FE GE'!$C$3+AI62*'PAG100 FE GE'!$C$4</f>
        <v>-324</v>
      </c>
      <c r="AF62" s="17">
        <f>AG62*'PAG20 FE GE'!$C$2+AH62*'PAG20 FE GE'!$C$3+AI62*'PAG20 FE GE'!$C$4</f>
        <v>-362</v>
      </c>
      <c r="AG62" s="17">
        <v>-1</v>
      </c>
      <c r="AH62" s="17">
        <v>-1</v>
      </c>
      <c r="AI62" s="17">
        <v>-1</v>
      </c>
      <c r="AJ62" s="27">
        <v>-1</v>
      </c>
      <c r="AK62" t="s">
        <v>424</v>
      </c>
      <c r="AL62" t="s">
        <v>791</v>
      </c>
    </row>
    <row r="63" spans="1:38" ht="15.75" thickBot="1" x14ac:dyDescent="0.3">
      <c r="A63" s="4" t="s">
        <v>2</v>
      </c>
      <c r="B63" s="7" t="s">
        <v>14</v>
      </c>
      <c r="C63" s="5" t="s">
        <v>92</v>
      </c>
      <c r="D63" s="6" t="s">
        <v>5</v>
      </c>
      <c r="E63" s="6" t="str">
        <f t="shared" si="1"/>
        <v>Pesado de Passageiros M3: III : GNC : E5</v>
      </c>
      <c r="F63" s="6" t="s">
        <v>56</v>
      </c>
      <c r="G63" s="6" t="s">
        <v>96</v>
      </c>
      <c r="H63" s="9">
        <f>IF(G63="MJ",INDEX(Tabela1[Energia (MJ/Qtd.)],MATCH(C63,Tabela1[Fuel],0)),IF(G63="GJ",INDEX(Tabela1[Energia (GJ/Qtd.)2],MATCH(C63,Tabela1[Fuel],0)),"XXX"))</f>
        <v>3.7521600000000002E-2</v>
      </c>
      <c r="I63" s="17">
        <f>O63*'PAG100 FE GE'!$E$2+P63*'PAG100 FE GE'!$E$3+Q63*'PAG100 FE GE'!$E$4</f>
        <v>-301.89999999999998</v>
      </c>
      <c r="J63" s="17">
        <f>O63*'PAG20 FE GE'!$E$2+P63*'PAG20 FE GE'!$E$3+Q63*'PAG20 FE GE'!$E$4</f>
        <v>-355.2</v>
      </c>
      <c r="K63" s="17">
        <f>O63*'PAG100 FE GE'!$D$2+P63*'PAG100 FE GE'!$D$3+Q63*'PAG100 FE GE'!$D$4</f>
        <v>-294</v>
      </c>
      <c r="L63" s="17">
        <f>O63*'PAG20 FE GE'!$D$2+P63*'PAG20 FE GE'!$D$3+Q63*'PAG20 FE GE'!$D$4</f>
        <v>-350</v>
      </c>
      <c r="M63" s="17">
        <f>O63*'PAG100 FE GE'!$C$2+P63*'PAG100 FE GE'!$C$3+Q63*'PAG100 FE GE'!$C$4</f>
        <v>-324</v>
      </c>
      <c r="N63" s="17">
        <f>O63*'PAG20 FE GE'!$C$2+P63*'PAG20 FE GE'!$C$3+Q63*'PAG20 FE GE'!$C$4</f>
        <v>-362</v>
      </c>
      <c r="O63" s="17">
        <v>-1</v>
      </c>
      <c r="P63" s="17">
        <v>-1</v>
      </c>
      <c r="Q63" s="17">
        <v>-1</v>
      </c>
      <c r="R63" s="17">
        <f>X63*'PAG100 FE GE'!$E$2+Y63*'PAG100 FE GE'!$E$3+Z63*'PAG100 FE GE'!$E$4</f>
        <v>-301.89999999999998</v>
      </c>
      <c r="S63" s="17">
        <f>X63*'PAG20 FE GE'!$E$2+Y63*'PAG20 FE GE'!$E$3+Z63*'PAG20 FE GE'!$E$4</f>
        <v>-355.2</v>
      </c>
      <c r="T63" s="17">
        <f>X63*'PAG100 FE GE'!$D$2+Y63*'PAG100 FE GE'!$D$3+Z63*'PAG100 FE GE'!$D$4</f>
        <v>-294</v>
      </c>
      <c r="U63" s="17">
        <f>X63*'PAG20 FE GE'!$D$2+Y63*'PAG20 FE GE'!$D$3+Z63*'PAG20 FE GE'!$D$4</f>
        <v>-350</v>
      </c>
      <c r="V63" s="17">
        <f>X63*'PAG100 FE GE'!$C$2+Y63*'PAG100 FE GE'!$C$3+Z63*'PAG100 FE GE'!$C$4</f>
        <v>-324</v>
      </c>
      <c r="W63" s="17">
        <f>X63*'PAG20 FE GE'!$C$2+Y63*'PAG20 FE GE'!$C$3+Z63*'PAG20 FE GE'!$C$4</f>
        <v>-362</v>
      </c>
      <c r="X63" s="17">
        <v>-1</v>
      </c>
      <c r="Y63" s="17">
        <v>-1</v>
      </c>
      <c r="Z63" s="17">
        <v>-1</v>
      </c>
      <c r="AA63" s="17">
        <f>AG63*'PAG100 FE GE'!$E$2+AH63*'PAG100 FE GE'!$E$3+AI63*'PAG100 FE GE'!$E$4</f>
        <v>-301.89999999999998</v>
      </c>
      <c r="AB63" s="17">
        <f>AG63*'PAG20 FE GE'!$E$2+AH63*'PAG20 FE GE'!$E$3+AI63*'PAG20 FE GE'!$E$4</f>
        <v>-355.2</v>
      </c>
      <c r="AC63" s="17">
        <f>AG63*'PAG100 FE GE'!$D$2+AH63*'PAG100 FE GE'!$D$3+AI63*'PAG100 FE GE'!$D$4</f>
        <v>-294</v>
      </c>
      <c r="AD63" s="17">
        <f>AG63*'PAG20 FE GE'!$D$2+AH63*'PAG20 FE GE'!$D$3+AI63*'PAG20 FE GE'!$D$4</f>
        <v>-350</v>
      </c>
      <c r="AE63" s="17">
        <f>AG63*'PAG100 FE GE'!$C$2+AH63*'PAG100 FE GE'!$C$3+AI63*'PAG100 FE GE'!$C$4</f>
        <v>-324</v>
      </c>
      <c r="AF63" s="17">
        <f>AG63*'PAG20 FE GE'!$C$2+AH63*'PAG20 FE GE'!$C$3+AI63*'PAG20 FE GE'!$C$4</f>
        <v>-362</v>
      </c>
      <c r="AG63" s="17">
        <v>-1</v>
      </c>
      <c r="AH63" s="17">
        <v>-1</v>
      </c>
      <c r="AI63" s="17">
        <v>-1</v>
      </c>
      <c r="AJ63" s="27">
        <v>-1</v>
      </c>
      <c r="AK63" t="s">
        <v>424</v>
      </c>
      <c r="AL63" t="s">
        <v>791</v>
      </c>
    </row>
    <row r="64" spans="1:38" ht="15.75" thickBot="1" x14ac:dyDescent="0.3">
      <c r="A64" s="4" t="s">
        <v>2</v>
      </c>
      <c r="B64" s="7" t="s">
        <v>14</v>
      </c>
      <c r="C64" s="5" t="s">
        <v>92</v>
      </c>
      <c r="D64" s="6" t="s">
        <v>6</v>
      </c>
      <c r="E64" s="6" t="str">
        <f t="shared" si="1"/>
        <v>Pesado de Passageiros M3: III : GNC : E6</v>
      </c>
      <c r="F64" s="6" t="s">
        <v>56</v>
      </c>
      <c r="G64" s="6" t="s">
        <v>96</v>
      </c>
      <c r="H64" s="9">
        <f>IF(G64="MJ",INDEX(Tabela1[Energia (MJ/Qtd.)],MATCH(C64,Tabela1[Fuel],0)),IF(G64="GJ",INDEX(Tabela1[Energia (GJ/Qtd.)2],MATCH(C64,Tabela1[Fuel],0)),"XXX"))</f>
        <v>3.7521600000000002E-2</v>
      </c>
      <c r="I64" s="17">
        <f>O64*'PAG100 FE GE'!$E$2+P64*'PAG100 FE GE'!$E$3+Q64*'PAG100 FE GE'!$E$4</f>
        <v>-301.89999999999998</v>
      </c>
      <c r="J64" s="17">
        <f>O64*'PAG20 FE GE'!$E$2+P64*'PAG20 FE GE'!$E$3+Q64*'PAG20 FE GE'!$E$4</f>
        <v>-355.2</v>
      </c>
      <c r="K64" s="17">
        <f>O64*'PAG100 FE GE'!$D$2+P64*'PAG100 FE GE'!$D$3+Q64*'PAG100 FE GE'!$D$4</f>
        <v>-294</v>
      </c>
      <c r="L64" s="17">
        <f>O64*'PAG20 FE GE'!$D$2+P64*'PAG20 FE GE'!$D$3+Q64*'PAG20 FE GE'!$D$4</f>
        <v>-350</v>
      </c>
      <c r="M64" s="17">
        <f>O64*'PAG100 FE GE'!$C$2+P64*'PAG100 FE GE'!$C$3+Q64*'PAG100 FE GE'!$C$4</f>
        <v>-324</v>
      </c>
      <c r="N64" s="17">
        <f>O64*'PAG20 FE GE'!$C$2+P64*'PAG20 FE GE'!$C$3+Q64*'PAG20 FE GE'!$C$4</f>
        <v>-362</v>
      </c>
      <c r="O64" s="17">
        <v>-1</v>
      </c>
      <c r="P64" s="17">
        <v>-1</v>
      </c>
      <c r="Q64" s="17">
        <v>-1</v>
      </c>
      <c r="R64" s="17">
        <f>X64*'PAG100 FE GE'!$E$2+Y64*'PAG100 FE GE'!$E$3+Z64*'PAG100 FE GE'!$E$4</f>
        <v>-301.89999999999998</v>
      </c>
      <c r="S64" s="17">
        <f>X64*'PAG20 FE GE'!$E$2+Y64*'PAG20 FE GE'!$E$3+Z64*'PAG20 FE GE'!$E$4</f>
        <v>-355.2</v>
      </c>
      <c r="T64" s="17">
        <f>X64*'PAG100 FE GE'!$D$2+Y64*'PAG100 FE GE'!$D$3+Z64*'PAG100 FE GE'!$D$4</f>
        <v>-294</v>
      </c>
      <c r="U64" s="17">
        <f>X64*'PAG20 FE GE'!$D$2+Y64*'PAG20 FE GE'!$D$3+Z64*'PAG20 FE GE'!$D$4</f>
        <v>-350</v>
      </c>
      <c r="V64" s="17">
        <f>X64*'PAG100 FE GE'!$C$2+Y64*'PAG100 FE GE'!$C$3+Z64*'PAG100 FE GE'!$C$4</f>
        <v>-324</v>
      </c>
      <c r="W64" s="17">
        <f>X64*'PAG20 FE GE'!$C$2+Y64*'PAG20 FE GE'!$C$3+Z64*'PAG20 FE GE'!$C$4</f>
        <v>-362</v>
      </c>
      <c r="X64" s="17">
        <v>-1</v>
      </c>
      <c r="Y64" s="17">
        <v>-1</v>
      </c>
      <c r="Z64" s="17">
        <v>-1</v>
      </c>
      <c r="AA64" s="17">
        <f>AG64*'PAG100 FE GE'!$E$2+AH64*'PAG100 FE GE'!$E$3+AI64*'PAG100 FE GE'!$E$4</f>
        <v>-301.89999999999998</v>
      </c>
      <c r="AB64" s="17">
        <f>AG64*'PAG20 FE GE'!$E$2+AH64*'PAG20 FE GE'!$E$3+AI64*'PAG20 FE GE'!$E$4</f>
        <v>-355.2</v>
      </c>
      <c r="AC64" s="17">
        <f>AG64*'PAG100 FE GE'!$D$2+AH64*'PAG100 FE GE'!$D$3+AI64*'PAG100 FE GE'!$D$4</f>
        <v>-294</v>
      </c>
      <c r="AD64" s="17">
        <f>AG64*'PAG20 FE GE'!$D$2+AH64*'PAG20 FE GE'!$D$3+AI64*'PAG20 FE GE'!$D$4</f>
        <v>-350</v>
      </c>
      <c r="AE64" s="17">
        <f>AG64*'PAG100 FE GE'!$C$2+AH64*'PAG100 FE GE'!$C$3+AI64*'PAG100 FE GE'!$C$4</f>
        <v>-324</v>
      </c>
      <c r="AF64" s="17">
        <f>AG64*'PAG20 FE GE'!$C$2+AH64*'PAG20 FE GE'!$C$3+AI64*'PAG20 FE GE'!$C$4</f>
        <v>-362</v>
      </c>
      <c r="AG64" s="17">
        <v>-1</v>
      </c>
      <c r="AH64" s="17">
        <v>-1</v>
      </c>
      <c r="AI64" s="17">
        <v>-1</v>
      </c>
      <c r="AJ64" s="27">
        <v>-1</v>
      </c>
      <c r="AK64" t="s">
        <v>424</v>
      </c>
      <c r="AL64" t="s">
        <v>791</v>
      </c>
    </row>
    <row r="65" spans="1:38" ht="15.75" thickBot="1" x14ac:dyDescent="0.3">
      <c r="A65" s="4" t="s">
        <v>2</v>
      </c>
      <c r="B65" s="7" t="s">
        <v>14</v>
      </c>
      <c r="C65" s="5" t="s">
        <v>92</v>
      </c>
      <c r="D65" s="6" t="s">
        <v>81</v>
      </c>
      <c r="E65" s="6" t="str">
        <f t="shared" si="1"/>
        <v>Pesado de Passageiros M3: III : GNC : E6 D/E E7</v>
      </c>
      <c r="F65" s="6" t="s">
        <v>56</v>
      </c>
      <c r="G65" s="6" t="s">
        <v>96</v>
      </c>
      <c r="H65" s="9">
        <f>IF(G65="MJ",INDEX(Tabela1[Energia (MJ/Qtd.)],MATCH(C65,Tabela1[Fuel],0)),IF(G65="GJ",INDEX(Tabela1[Energia (GJ/Qtd.)2],MATCH(C65,Tabela1[Fuel],0)),"XXX"))</f>
        <v>3.7521600000000002E-2</v>
      </c>
      <c r="I65" s="17">
        <f>O65*'PAG100 FE GE'!$E$2+P65*'PAG100 FE GE'!$E$3+Q65*'PAG100 FE GE'!$E$4</f>
        <v>-301.89999999999998</v>
      </c>
      <c r="J65" s="17">
        <f>O65*'PAG20 FE GE'!$E$2+P65*'PAG20 FE GE'!$E$3+Q65*'PAG20 FE GE'!$E$4</f>
        <v>-355.2</v>
      </c>
      <c r="K65" s="17">
        <f>O65*'PAG100 FE GE'!$D$2+P65*'PAG100 FE GE'!$D$3+Q65*'PAG100 FE GE'!$D$4</f>
        <v>-294</v>
      </c>
      <c r="L65" s="17">
        <f>O65*'PAG20 FE GE'!$D$2+P65*'PAG20 FE GE'!$D$3+Q65*'PAG20 FE GE'!$D$4</f>
        <v>-350</v>
      </c>
      <c r="M65" s="17">
        <f>O65*'PAG100 FE GE'!$C$2+P65*'PAG100 FE GE'!$C$3+Q65*'PAG100 FE GE'!$C$4</f>
        <v>-324</v>
      </c>
      <c r="N65" s="17">
        <f>O65*'PAG20 FE GE'!$C$2+P65*'PAG20 FE GE'!$C$3+Q65*'PAG20 FE GE'!$C$4</f>
        <v>-362</v>
      </c>
      <c r="O65" s="17">
        <v>-1</v>
      </c>
      <c r="P65" s="17">
        <v>-1</v>
      </c>
      <c r="Q65" s="17">
        <v>-1</v>
      </c>
      <c r="R65" s="17">
        <f>X65*'PAG100 FE GE'!$E$2+Y65*'PAG100 FE GE'!$E$3+Z65*'PAG100 FE GE'!$E$4</f>
        <v>-301.89999999999998</v>
      </c>
      <c r="S65" s="17">
        <f>X65*'PAG20 FE GE'!$E$2+Y65*'PAG20 FE GE'!$E$3+Z65*'PAG20 FE GE'!$E$4</f>
        <v>-355.2</v>
      </c>
      <c r="T65" s="17">
        <f>X65*'PAG100 FE GE'!$D$2+Y65*'PAG100 FE GE'!$D$3+Z65*'PAG100 FE GE'!$D$4</f>
        <v>-294</v>
      </c>
      <c r="U65" s="17">
        <f>X65*'PAG20 FE GE'!$D$2+Y65*'PAG20 FE GE'!$D$3+Z65*'PAG20 FE GE'!$D$4</f>
        <v>-350</v>
      </c>
      <c r="V65" s="17">
        <f>X65*'PAG100 FE GE'!$C$2+Y65*'PAG100 FE GE'!$C$3+Z65*'PAG100 FE GE'!$C$4</f>
        <v>-324</v>
      </c>
      <c r="W65" s="17">
        <f>X65*'PAG20 FE GE'!$C$2+Y65*'PAG20 FE GE'!$C$3+Z65*'PAG20 FE GE'!$C$4</f>
        <v>-362</v>
      </c>
      <c r="X65" s="17">
        <v>-1</v>
      </c>
      <c r="Y65" s="17">
        <v>-1</v>
      </c>
      <c r="Z65" s="17">
        <v>-1</v>
      </c>
      <c r="AA65" s="17">
        <f>AG65*'PAG100 FE GE'!$E$2+AH65*'PAG100 FE GE'!$E$3+AI65*'PAG100 FE GE'!$E$4</f>
        <v>-301.89999999999998</v>
      </c>
      <c r="AB65" s="17">
        <f>AG65*'PAG20 FE GE'!$E$2+AH65*'PAG20 FE GE'!$E$3+AI65*'PAG20 FE GE'!$E$4</f>
        <v>-355.2</v>
      </c>
      <c r="AC65" s="17">
        <f>AG65*'PAG100 FE GE'!$D$2+AH65*'PAG100 FE GE'!$D$3+AI65*'PAG100 FE GE'!$D$4</f>
        <v>-294</v>
      </c>
      <c r="AD65" s="17">
        <f>AG65*'PAG20 FE GE'!$D$2+AH65*'PAG20 FE GE'!$D$3+AI65*'PAG20 FE GE'!$D$4</f>
        <v>-350</v>
      </c>
      <c r="AE65" s="17">
        <f>AG65*'PAG100 FE GE'!$C$2+AH65*'PAG100 FE GE'!$C$3+AI65*'PAG100 FE GE'!$C$4</f>
        <v>-324</v>
      </c>
      <c r="AF65" s="17">
        <f>AG65*'PAG20 FE GE'!$C$2+AH65*'PAG20 FE GE'!$C$3+AI65*'PAG20 FE GE'!$C$4</f>
        <v>-362</v>
      </c>
      <c r="AG65" s="17">
        <v>-1</v>
      </c>
      <c r="AH65" s="17">
        <v>-1</v>
      </c>
      <c r="AI65" s="17">
        <v>-1</v>
      </c>
      <c r="AJ65" s="27">
        <v>-1</v>
      </c>
      <c r="AK65" t="s">
        <v>424</v>
      </c>
      <c r="AL65" t="s">
        <v>791</v>
      </c>
    </row>
    <row r="66" spans="1:38" ht="15.75" thickBot="1" x14ac:dyDescent="0.3">
      <c r="A66" s="4" t="s">
        <v>2</v>
      </c>
      <c r="B66" s="7" t="s">
        <v>14</v>
      </c>
      <c r="C66" s="5" t="s">
        <v>95</v>
      </c>
      <c r="D66" s="6" t="s">
        <v>8</v>
      </c>
      <c r="E66" s="6" t="str">
        <f t="shared" si="1"/>
        <v>Pesado de Passageiros M3: III : GNL : E0</v>
      </c>
      <c r="F66" s="6" t="s">
        <v>57</v>
      </c>
      <c r="G66" s="6" t="s">
        <v>96</v>
      </c>
      <c r="H66" s="9">
        <f>IF(G66="MJ",INDEX(Tabela1[Energia (MJ/Qtd.)],MATCH(C66,Tabela1[Fuel],0)),IF(G66="GJ",INDEX(Tabela1[Energia (GJ/Qtd.)2],MATCH(C66,Tabela1[Fuel],0)),"XXX"))</f>
        <v>4.8000000000000001E-2</v>
      </c>
      <c r="I66" s="17">
        <f>O66*'PAG100 FE GE'!$E$2+P66*'PAG100 FE GE'!$E$3+Q66*'PAG100 FE GE'!$E$4</f>
        <v>-301.89999999999998</v>
      </c>
      <c r="J66" s="17">
        <f>O66*'PAG20 FE GE'!$E$2+P66*'PAG20 FE GE'!$E$3+Q66*'PAG20 FE GE'!$E$4</f>
        <v>-355.2</v>
      </c>
      <c r="K66" s="17">
        <f>O66*'PAG100 FE GE'!$D$2+P66*'PAG100 FE GE'!$D$3+Q66*'PAG100 FE GE'!$D$4</f>
        <v>-294</v>
      </c>
      <c r="L66" s="17">
        <f>O66*'PAG20 FE GE'!$D$2+P66*'PAG20 FE GE'!$D$3+Q66*'PAG20 FE GE'!$D$4</f>
        <v>-350</v>
      </c>
      <c r="M66" s="17">
        <f>O66*'PAG100 FE GE'!$C$2+P66*'PAG100 FE GE'!$C$3+Q66*'PAG100 FE GE'!$C$4</f>
        <v>-324</v>
      </c>
      <c r="N66" s="17">
        <f>O66*'PAG20 FE GE'!$C$2+P66*'PAG20 FE GE'!$C$3+Q66*'PAG20 FE GE'!$C$4</f>
        <v>-362</v>
      </c>
      <c r="O66" s="17">
        <v>-1</v>
      </c>
      <c r="P66" s="17">
        <v>-1</v>
      </c>
      <c r="Q66" s="17">
        <v>-1</v>
      </c>
      <c r="R66" s="17">
        <f>X66*'PAG100 FE GE'!$E$2+Y66*'PAG100 FE GE'!$E$3+Z66*'PAG100 FE GE'!$E$4</f>
        <v>-301.89999999999998</v>
      </c>
      <c r="S66" s="17">
        <f>X66*'PAG20 FE GE'!$E$2+Y66*'PAG20 FE GE'!$E$3+Z66*'PAG20 FE GE'!$E$4</f>
        <v>-355.2</v>
      </c>
      <c r="T66" s="17">
        <f>X66*'PAG100 FE GE'!$D$2+Y66*'PAG100 FE GE'!$D$3+Z66*'PAG100 FE GE'!$D$4</f>
        <v>-294</v>
      </c>
      <c r="U66" s="17">
        <f>X66*'PAG20 FE GE'!$D$2+Y66*'PAG20 FE GE'!$D$3+Z66*'PAG20 FE GE'!$D$4</f>
        <v>-350</v>
      </c>
      <c r="V66" s="17">
        <f>X66*'PAG100 FE GE'!$C$2+Y66*'PAG100 FE GE'!$C$3+Z66*'PAG100 FE GE'!$C$4</f>
        <v>-324</v>
      </c>
      <c r="W66" s="17">
        <f>X66*'PAG20 FE GE'!$C$2+Y66*'PAG20 FE GE'!$C$3+Z66*'PAG20 FE GE'!$C$4</f>
        <v>-362</v>
      </c>
      <c r="X66" s="17">
        <v>-1</v>
      </c>
      <c r="Y66" s="17">
        <v>-1</v>
      </c>
      <c r="Z66" s="17">
        <v>-1</v>
      </c>
      <c r="AA66" s="17">
        <f>AG66*'PAG100 FE GE'!$E$2+AH66*'PAG100 FE GE'!$E$3+AI66*'PAG100 FE GE'!$E$4</f>
        <v>-301.89999999999998</v>
      </c>
      <c r="AB66" s="17">
        <f>AG66*'PAG20 FE GE'!$E$2+AH66*'PAG20 FE GE'!$E$3+AI66*'PAG20 FE GE'!$E$4</f>
        <v>-355.2</v>
      </c>
      <c r="AC66" s="17">
        <f>AG66*'PAG100 FE GE'!$D$2+AH66*'PAG100 FE GE'!$D$3+AI66*'PAG100 FE GE'!$D$4</f>
        <v>-294</v>
      </c>
      <c r="AD66" s="17">
        <f>AG66*'PAG20 FE GE'!$D$2+AH66*'PAG20 FE GE'!$D$3+AI66*'PAG20 FE GE'!$D$4</f>
        <v>-350</v>
      </c>
      <c r="AE66" s="17">
        <f>AG66*'PAG100 FE GE'!$C$2+AH66*'PAG100 FE GE'!$C$3+AI66*'PAG100 FE GE'!$C$4</f>
        <v>-324</v>
      </c>
      <c r="AF66" s="17">
        <f>AG66*'PAG20 FE GE'!$C$2+AH66*'PAG20 FE GE'!$C$3+AI66*'PAG20 FE GE'!$C$4</f>
        <v>-362</v>
      </c>
      <c r="AG66" s="17">
        <v>-1</v>
      </c>
      <c r="AH66" s="17">
        <v>-1</v>
      </c>
      <c r="AI66" s="17">
        <v>-1</v>
      </c>
      <c r="AJ66" s="27">
        <v>-1</v>
      </c>
      <c r="AK66" t="s">
        <v>424</v>
      </c>
      <c r="AL66" t="s">
        <v>791</v>
      </c>
    </row>
    <row r="67" spans="1:38" ht="15.75" thickBot="1" x14ac:dyDescent="0.3">
      <c r="A67" s="4" t="s">
        <v>2</v>
      </c>
      <c r="B67" s="7" t="s">
        <v>14</v>
      </c>
      <c r="C67" s="5" t="s">
        <v>95</v>
      </c>
      <c r="D67" s="6" t="s">
        <v>7</v>
      </c>
      <c r="E67" s="6" t="str">
        <f t="shared" ref="E67:E130" si="11">A67&amp;": "&amp;B67&amp;" : "&amp;C67&amp;" : "&amp;D67</f>
        <v>Pesado de Passageiros M3: III : GNL : E1</v>
      </c>
      <c r="F67" s="6" t="s">
        <v>57</v>
      </c>
      <c r="G67" s="6" t="s">
        <v>96</v>
      </c>
      <c r="H67" s="9">
        <f>IF(G67="MJ",INDEX(Tabela1[Energia (MJ/Qtd.)],MATCH(C67,Tabela1[Fuel],0)),IF(G67="GJ",INDEX(Tabela1[Energia (GJ/Qtd.)2],MATCH(C67,Tabela1[Fuel],0)),"XXX"))</f>
        <v>4.8000000000000001E-2</v>
      </c>
      <c r="I67" s="17">
        <f>O67*'PAG100 FE GE'!$E$2+P67*'PAG100 FE GE'!$E$3+Q67*'PAG100 FE GE'!$E$4</f>
        <v>-301.89999999999998</v>
      </c>
      <c r="J67" s="17">
        <f>O67*'PAG20 FE GE'!$E$2+P67*'PAG20 FE GE'!$E$3+Q67*'PAG20 FE GE'!$E$4</f>
        <v>-355.2</v>
      </c>
      <c r="K67" s="17">
        <f>O67*'PAG100 FE GE'!$D$2+P67*'PAG100 FE GE'!$D$3+Q67*'PAG100 FE GE'!$D$4</f>
        <v>-294</v>
      </c>
      <c r="L67" s="17">
        <f>O67*'PAG20 FE GE'!$D$2+P67*'PAG20 FE GE'!$D$3+Q67*'PAG20 FE GE'!$D$4</f>
        <v>-350</v>
      </c>
      <c r="M67" s="17">
        <f>O67*'PAG100 FE GE'!$C$2+P67*'PAG100 FE GE'!$C$3+Q67*'PAG100 FE GE'!$C$4</f>
        <v>-324</v>
      </c>
      <c r="N67" s="17">
        <f>O67*'PAG20 FE GE'!$C$2+P67*'PAG20 FE GE'!$C$3+Q67*'PAG20 FE GE'!$C$4</f>
        <v>-362</v>
      </c>
      <c r="O67" s="17">
        <v>-1</v>
      </c>
      <c r="P67" s="17">
        <v>-1</v>
      </c>
      <c r="Q67" s="17">
        <v>-1</v>
      </c>
      <c r="R67" s="17">
        <f>X67*'PAG100 FE GE'!$E$2+Y67*'PAG100 FE GE'!$E$3+Z67*'PAG100 FE GE'!$E$4</f>
        <v>-301.89999999999998</v>
      </c>
      <c r="S67" s="17">
        <f>X67*'PAG20 FE GE'!$E$2+Y67*'PAG20 FE GE'!$E$3+Z67*'PAG20 FE GE'!$E$4</f>
        <v>-355.2</v>
      </c>
      <c r="T67" s="17">
        <f>X67*'PAG100 FE GE'!$D$2+Y67*'PAG100 FE GE'!$D$3+Z67*'PAG100 FE GE'!$D$4</f>
        <v>-294</v>
      </c>
      <c r="U67" s="17">
        <f>X67*'PAG20 FE GE'!$D$2+Y67*'PAG20 FE GE'!$D$3+Z67*'PAG20 FE GE'!$D$4</f>
        <v>-350</v>
      </c>
      <c r="V67" s="17">
        <f>X67*'PAG100 FE GE'!$C$2+Y67*'PAG100 FE GE'!$C$3+Z67*'PAG100 FE GE'!$C$4</f>
        <v>-324</v>
      </c>
      <c r="W67" s="17">
        <f>X67*'PAG20 FE GE'!$C$2+Y67*'PAG20 FE GE'!$C$3+Z67*'PAG20 FE GE'!$C$4</f>
        <v>-362</v>
      </c>
      <c r="X67" s="17">
        <v>-1</v>
      </c>
      <c r="Y67" s="17">
        <v>-1</v>
      </c>
      <c r="Z67" s="17">
        <v>-1</v>
      </c>
      <c r="AA67" s="17">
        <f>AG67*'PAG100 FE GE'!$E$2+AH67*'PAG100 FE GE'!$E$3+AI67*'PAG100 FE GE'!$E$4</f>
        <v>-301.89999999999998</v>
      </c>
      <c r="AB67" s="17">
        <f>AG67*'PAG20 FE GE'!$E$2+AH67*'PAG20 FE GE'!$E$3+AI67*'PAG20 FE GE'!$E$4</f>
        <v>-355.2</v>
      </c>
      <c r="AC67" s="17">
        <f>AG67*'PAG100 FE GE'!$D$2+AH67*'PAG100 FE GE'!$D$3+AI67*'PAG100 FE GE'!$D$4</f>
        <v>-294</v>
      </c>
      <c r="AD67" s="17">
        <f>AG67*'PAG20 FE GE'!$D$2+AH67*'PAG20 FE GE'!$D$3+AI67*'PAG20 FE GE'!$D$4</f>
        <v>-350</v>
      </c>
      <c r="AE67" s="17">
        <f>AG67*'PAG100 FE GE'!$C$2+AH67*'PAG100 FE GE'!$C$3+AI67*'PAG100 FE GE'!$C$4</f>
        <v>-324</v>
      </c>
      <c r="AF67" s="17">
        <f>AG67*'PAG20 FE GE'!$C$2+AH67*'PAG20 FE GE'!$C$3+AI67*'PAG20 FE GE'!$C$4</f>
        <v>-362</v>
      </c>
      <c r="AG67" s="17">
        <v>-1</v>
      </c>
      <c r="AH67" s="17">
        <v>-1</v>
      </c>
      <c r="AI67" s="17">
        <v>-1</v>
      </c>
      <c r="AJ67" s="27">
        <v>-1</v>
      </c>
      <c r="AK67" t="s">
        <v>424</v>
      </c>
      <c r="AL67" t="s">
        <v>791</v>
      </c>
    </row>
    <row r="68" spans="1:38" ht="15.75" thickBot="1" x14ac:dyDescent="0.3">
      <c r="A68" s="4" t="s">
        <v>2</v>
      </c>
      <c r="B68" s="7" t="s">
        <v>14</v>
      </c>
      <c r="C68" s="5" t="s">
        <v>95</v>
      </c>
      <c r="D68" s="6" t="s">
        <v>9</v>
      </c>
      <c r="E68" s="6" t="str">
        <f t="shared" si="11"/>
        <v>Pesado de Passageiros M3: III : GNL : E2</v>
      </c>
      <c r="F68" s="6" t="s">
        <v>57</v>
      </c>
      <c r="G68" s="6" t="s">
        <v>96</v>
      </c>
      <c r="H68" s="9">
        <f>IF(G68="MJ",INDEX(Tabela1[Energia (MJ/Qtd.)],MATCH(C68,Tabela1[Fuel],0)),IF(G68="GJ",INDEX(Tabela1[Energia (GJ/Qtd.)2],MATCH(C68,Tabela1[Fuel],0)),"XXX"))</f>
        <v>4.8000000000000001E-2</v>
      </c>
      <c r="I68" s="17">
        <f>O68*'PAG100 FE GE'!$E$2+P68*'PAG100 FE GE'!$E$3+Q68*'PAG100 FE GE'!$E$4</f>
        <v>-301.89999999999998</v>
      </c>
      <c r="J68" s="17">
        <f>O68*'PAG20 FE GE'!$E$2+P68*'PAG20 FE GE'!$E$3+Q68*'PAG20 FE GE'!$E$4</f>
        <v>-355.2</v>
      </c>
      <c r="K68" s="17">
        <f>O68*'PAG100 FE GE'!$D$2+P68*'PAG100 FE GE'!$D$3+Q68*'PAG100 FE GE'!$D$4</f>
        <v>-294</v>
      </c>
      <c r="L68" s="17">
        <f>O68*'PAG20 FE GE'!$D$2+P68*'PAG20 FE GE'!$D$3+Q68*'PAG20 FE GE'!$D$4</f>
        <v>-350</v>
      </c>
      <c r="M68" s="17">
        <f>O68*'PAG100 FE GE'!$C$2+P68*'PAG100 FE GE'!$C$3+Q68*'PAG100 FE GE'!$C$4</f>
        <v>-324</v>
      </c>
      <c r="N68" s="17">
        <f>O68*'PAG20 FE GE'!$C$2+P68*'PAG20 FE GE'!$C$3+Q68*'PAG20 FE GE'!$C$4</f>
        <v>-362</v>
      </c>
      <c r="O68" s="17">
        <v>-1</v>
      </c>
      <c r="P68" s="17">
        <v>-1</v>
      </c>
      <c r="Q68" s="17">
        <v>-1</v>
      </c>
      <c r="R68" s="17">
        <f>X68*'PAG100 FE GE'!$E$2+Y68*'PAG100 FE GE'!$E$3+Z68*'PAG100 FE GE'!$E$4</f>
        <v>-301.89999999999998</v>
      </c>
      <c r="S68" s="17">
        <f>X68*'PAG20 FE GE'!$E$2+Y68*'PAG20 FE GE'!$E$3+Z68*'PAG20 FE GE'!$E$4</f>
        <v>-355.2</v>
      </c>
      <c r="T68" s="17">
        <f>X68*'PAG100 FE GE'!$D$2+Y68*'PAG100 FE GE'!$D$3+Z68*'PAG100 FE GE'!$D$4</f>
        <v>-294</v>
      </c>
      <c r="U68" s="17">
        <f>X68*'PAG20 FE GE'!$D$2+Y68*'PAG20 FE GE'!$D$3+Z68*'PAG20 FE GE'!$D$4</f>
        <v>-350</v>
      </c>
      <c r="V68" s="17">
        <f>X68*'PAG100 FE GE'!$C$2+Y68*'PAG100 FE GE'!$C$3+Z68*'PAG100 FE GE'!$C$4</f>
        <v>-324</v>
      </c>
      <c r="W68" s="17">
        <f>X68*'PAG20 FE GE'!$C$2+Y68*'PAG20 FE GE'!$C$3+Z68*'PAG20 FE GE'!$C$4</f>
        <v>-362</v>
      </c>
      <c r="X68" s="17">
        <v>-1</v>
      </c>
      <c r="Y68" s="17">
        <v>-1</v>
      </c>
      <c r="Z68" s="17">
        <v>-1</v>
      </c>
      <c r="AA68" s="17">
        <f>AG68*'PAG100 FE GE'!$E$2+AH68*'PAG100 FE GE'!$E$3+AI68*'PAG100 FE GE'!$E$4</f>
        <v>-301.89999999999998</v>
      </c>
      <c r="AB68" s="17">
        <f>AG68*'PAG20 FE GE'!$E$2+AH68*'PAG20 FE GE'!$E$3+AI68*'PAG20 FE GE'!$E$4</f>
        <v>-355.2</v>
      </c>
      <c r="AC68" s="17">
        <f>AG68*'PAG100 FE GE'!$D$2+AH68*'PAG100 FE GE'!$D$3+AI68*'PAG100 FE GE'!$D$4</f>
        <v>-294</v>
      </c>
      <c r="AD68" s="17">
        <f>AG68*'PAG20 FE GE'!$D$2+AH68*'PAG20 FE GE'!$D$3+AI68*'PAG20 FE GE'!$D$4</f>
        <v>-350</v>
      </c>
      <c r="AE68" s="17">
        <f>AG68*'PAG100 FE GE'!$C$2+AH68*'PAG100 FE GE'!$C$3+AI68*'PAG100 FE GE'!$C$4</f>
        <v>-324</v>
      </c>
      <c r="AF68" s="17">
        <f>AG68*'PAG20 FE GE'!$C$2+AH68*'PAG20 FE GE'!$C$3+AI68*'PAG20 FE GE'!$C$4</f>
        <v>-362</v>
      </c>
      <c r="AG68" s="17">
        <v>-1</v>
      </c>
      <c r="AH68" s="17">
        <v>-1</v>
      </c>
      <c r="AI68" s="17">
        <v>-1</v>
      </c>
      <c r="AJ68" s="27">
        <v>-1</v>
      </c>
      <c r="AK68" t="s">
        <v>424</v>
      </c>
      <c r="AL68" t="s">
        <v>791</v>
      </c>
    </row>
    <row r="69" spans="1:38" ht="15.75" thickBot="1" x14ac:dyDescent="0.3">
      <c r="A69" s="4" t="s">
        <v>2</v>
      </c>
      <c r="B69" s="7" t="s">
        <v>14</v>
      </c>
      <c r="C69" s="5" t="s">
        <v>95</v>
      </c>
      <c r="D69" s="6" t="s">
        <v>10</v>
      </c>
      <c r="E69" s="6" t="str">
        <f t="shared" si="11"/>
        <v>Pesado de Passageiros M3: III : GNL : E3</v>
      </c>
      <c r="F69" s="6" t="s">
        <v>57</v>
      </c>
      <c r="G69" s="6" t="s">
        <v>96</v>
      </c>
      <c r="H69" s="9">
        <f>IF(G69="MJ",INDEX(Tabela1[Energia (MJ/Qtd.)],MATCH(C69,Tabela1[Fuel],0)),IF(G69="GJ",INDEX(Tabela1[Energia (GJ/Qtd.)2],MATCH(C69,Tabela1[Fuel],0)),"XXX"))</f>
        <v>4.8000000000000001E-2</v>
      </c>
      <c r="I69" s="17">
        <f>O69*'PAG100 FE GE'!$E$2+P69*'PAG100 FE GE'!$E$3+Q69*'PAG100 FE GE'!$E$4</f>
        <v>-301.89999999999998</v>
      </c>
      <c r="J69" s="17">
        <f>O69*'PAG20 FE GE'!$E$2+P69*'PAG20 FE GE'!$E$3+Q69*'PAG20 FE GE'!$E$4</f>
        <v>-355.2</v>
      </c>
      <c r="K69" s="17">
        <f>O69*'PAG100 FE GE'!$D$2+P69*'PAG100 FE GE'!$D$3+Q69*'PAG100 FE GE'!$D$4</f>
        <v>-294</v>
      </c>
      <c r="L69" s="17">
        <f>O69*'PAG20 FE GE'!$D$2+P69*'PAG20 FE GE'!$D$3+Q69*'PAG20 FE GE'!$D$4</f>
        <v>-350</v>
      </c>
      <c r="M69" s="17">
        <f>O69*'PAG100 FE GE'!$C$2+P69*'PAG100 FE GE'!$C$3+Q69*'PAG100 FE GE'!$C$4</f>
        <v>-324</v>
      </c>
      <c r="N69" s="17">
        <f>O69*'PAG20 FE GE'!$C$2+P69*'PAG20 FE GE'!$C$3+Q69*'PAG20 FE GE'!$C$4</f>
        <v>-362</v>
      </c>
      <c r="O69" s="17">
        <v>-1</v>
      </c>
      <c r="P69" s="17">
        <v>-1</v>
      </c>
      <c r="Q69" s="17">
        <v>-1</v>
      </c>
      <c r="R69" s="17">
        <f>X69*'PAG100 FE GE'!$E$2+Y69*'PAG100 FE GE'!$E$3+Z69*'PAG100 FE GE'!$E$4</f>
        <v>-301.89999999999998</v>
      </c>
      <c r="S69" s="17">
        <f>X69*'PAG20 FE GE'!$E$2+Y69*'PAG20 FE GE'!$E$3+Z69*'PAG20 FE GE'!$E$4</f>
        <v>-355.2</v>
      </c>
      <c r="T69" s="17">
        <f>X69*'PAG100 FE GE'!$D$2+Y69*'PAG100 FE GE'!$D$3+Z69*'PAG100 FE GE'!$D$4</f>
        <v>-294</v>
      </c>
      <c r="U69" s="17">
        <f>X69*'PAG20 FE GE'!$D$2+Y69*'PAG20 FE GE'!$D$3+Z69*'PAG20 FE GE'!$D$4</f>
        <v>-350</v>
      </c>
      <c r="V69" s="17">
        <f>X69*'PAG100 FE GE'!$C$2+Y69*'PAG100 FE GE'!$C$3+Z69*'PAG100 FE GE'!$C$4</f>
        <v>-324</v>
      </c>
      <c r="W69" s="17">
        <f>X69*'PAG20 FE GE'!$C$2+Y69*'PAG20 FE GE'!$C$3+Z69*'PAG20 FE GE'!$C$4</f>
        <v>-362</v>
      </c>
      <c r="X69" s="17">
        <v>-1</v>
      </c>
      <c r="Y69" s="17">
        <v>-1</v>
      </c>
      <c r="Z69" s="17">
        <v>-1</v>
      </c>
      <c r="AA69" s="17">
        <f>AG69*'PAG100 FE GE'!$E$2+AH69*'PAG100 FE GE'!$E$3+AI69*'PAG100 FE GE'!$E$4</f>
        <v>-301.89999999999998</v>
      </c>
      <c r="AB69" s="17">
        <f>AG69*'PAG20 FE GE'!$E$2+AH69*'PAG20 FE GE'!$E$3+AI69*'PAG20 FE GE'!$E$4</f>
        <v>-355.2</v>
      </c>
      <c r="AC69" s="17">
        <f>AG69*'PAG100 FE GE'!$D$2+AH69*'PAG100 FE GE'!$D$3+AI69*'PAG100 FE GE'!$D$4</f>
        <v>-294</v>
      </c>
      <c r="AD69" s="17">
        <f>AG69*'PAG20 FE GE'!$D$2+AH69*'PAG20 FE GE'!$D$3+AI69*'PAG20 FE GE'!$D$4</f>
        <v>-350</v>
      </c>
      <c r="AE69" s="17">
        <f>AG69*'PAG100 FE GE'!$C$2+AH69*'PAG100 FE GE'!$C$3+AI69*'PAG100 FE GE'!$C$4</f>
        <v>-324</v>
      </c>
      <c r="AF69" s="17">
        <f>AG69*'PAG20 FE GE'!$C$2+AH69*'PAG20 FE GE'!$C$3+AI69*'PAG20 FE GE'!$C$4</f>
        <v>-362</v>
      </c>
      <c r="AG69" s="17">
        <v>-1</v>
      </c>
      <c r="AH69" s="17">
        <v>-1</v>
      </c>
      <c r="AI69" s="17">
        <v>-1</v>
      </c>
      <c r="AJ69" s="27">
        <v>-1</v>
      </c>
      <c r="AK69" t="s">
        <v>424</v>
      </c>
      <c r="AL69" t="s">
        <v>791</v>
      </c>
    </row>
    <row r="70" spans="1:38" ht="15.75" thickBot="1" x14ac:dyDescent="0.3">
      <c r="A70" s="4" t="s">
        <v>2</v>
      </c>
      <c r="B70" s="7" t="s">
        <v>14</v>
      </c>
      <c r="C70" s="5" t="s">
        <v>95</v>
      </c>
      <c r="D70" s="6" t="s">
        <v>4</v>
      </c>
      <c r="E70" s="6" t="str">
        <f t="shared" si="11"/>
        <v>Pesado de Passageiros M3: III : GNL : E4</v>
      </c>
      <c r="F70" s="6" t="s">
        <v>57</v>
      </c>
      <c r="G70" s="6" t="s">
        <v>96</v>
      </c>
      <c r="H70" s="9">
        <f>IF(G70="MJ",INDEX(Tabela1[Energia (MJ/Qtd.)],MATCH(C70,Tabela1[Fuel],0)),IF(G70="GJ",INDEX(Tabela1[Energia (GJ/Qtd.)2],MATCH(C70,Tabela1[Fuel],0)),"XXX"))</f>
        <v>4.8000000000000001E-2</v>
      </c>
      <c r="I70" s="17">
        <f>O70*'PAG100 FE GE'!$E$2+P70*'PAG100 FE GE'!$E$3+Q70*'PAG100 FE GE'!$E$4</f>
        <v>-301.89999999999998</v>
      </c>
      <c r="J70" s="17">
        <f>O70*'PAG20 FE GE'!$E$2+P70*'PAG20 FE GE'!$E$3+Q70*'PAG20 FE GE'!$E$4</f>
        <v>-355.2</v>
      </c>
      <c r="K70" s="17">
        <f>O70*'PAG100 FE GE'!$D$2+P70*'PAG100 FE GE'!$D$3+Q70*'PAG100 FE GE'!$D$4</f>
        <v>-294</v>
      </c>
      <c r="L70" s="17">
        <f>O70*'PAG20 FE GE'!$D$2+P70*'PAG20 FE GE'!$D$3+Q70*'PAG20 FE GE'!$D$4</f>
        <v>-350</v>
      </c>
      <c r="M70" s="17">
        <f>O70*'PAG100 FE GE'!$C$2+P70*'PAG100 FE GE'!$C$3+Q70*'PAG100 FE GE'!$C$4</f>
        <v>-324</v>
      </c>
      <c r="N70" s="17">
        <f>O70*'PAG20 FE GE'!$C$2+P70*'PAG20 FE GE'!$C$3+Q70*'PAG20 FE GE'!$C$4</f>
        <v>-362</v>
      </c>
      <c r="O70" s="17">
        <v>-1</v>
      </c>
      <c r="P70" s="17">
        <v>-1</v>
      </c>
      <c r="Q70" s="17">
        <v>-1</v>
      </c>
      <c r="R70" s="17">
        <f>X70*'PAG100 FE GE'!$E$2+Y70*'PAG100 FE GE'!$E$3+Z70*'PAG100 FE GE'!$E$4</f>
        <v>-301.89999999999998</v>
      </c>
      <c r="S70" s="17">
        <f>X70*'PAG20 FE GE'!$E$2+Y70*'PAG20 FE GE'!$E$3+Z70*'PAG20 FE GE'!$E$4</f>
        <v>-355.2</v>
      </c>
      <c r="T70" s="17">
        <f>X70*'PAG100 FE GE'!$D$2+Y70*'PAG100 FE GE'!$D$3+Z70*'PAG100 FE GE'!$D$4</f>
        <v>-294</v>
      </c>
      <c r="U70" s="17">
        <f>X70*'PAG20 FE GE'!$D$2+Y70*'PAG20 FE GE'!$D$3+Z70*'PAG20 FE GE'!$D$4</f>
        <v>-350</v>
      </c>
      <c r="V70" s="17">
        <f>X70*'PAG100 FE GE'!$C$2+Y70*'PAG100 FE GE'!$C$3+Z70*'PAG100 FE GE'!$C$4</f>
        <v>-324</v>
      </c>
      <c r="W70" s="17">
        <f>X70*'PAG20 FE GE'!$C$2+Y70*'PAG20 FE GE'!$C$3+Z70*'PAG20 FE GE'!$C$4</f>
        <v>-362</v>
      </c>
      <c r="X70" s="17">
        <v>-1</v>
      </c>
      <c r="Y70" s="17">
        <v>-1</v>
      </c>
      <c r="Z70" s="17">
        <v>-1</v>
      </c>
      <c r="AA70" s="17">
        <f>AG70*'PAG100 FE GE'!$E$2+AH70*'PAG100 FE GE'!$E$3+AI70*'PAG100 FE GE'!$E$4</f>
        <v>-301.89999999999998</v>
      </c>
      <c r="AB70" s="17">
        <f>AG70*'PAG20 FE GE'!$E$2+AH70*'PAG20 FE GE'!$E$3+AI70*'PAG20 FE GE'!$E$4</f>
        <v>-355.2</v>
      </c>
      <c r="AC70" s="17">
        <f>AG70*'PAG100 FE GE'!$D$2+AH70*'PAG100 FE GE'!$D$3+AI70*'PAG100 FE GE'!$D$4</f>
        <v>-294</v>
      </c>
      <c r="AD70" s="17">
        <f>AG70*'PAG20 FE GE'!$D$2+AH70*'PAG20 FE GE'!$D$3+AI70*'PAG20 FE GE'!$D$4</f>
        <v>-350</v>
      </c>
      <c r="AE70" s="17">
        <f>AG70*'PAG100 FE GE'!$C$2+AH70*'PAG100 FE GE'!$C$3+AI70*'PAG100 FE GE'!$C$4</f>
        <v>-324</v>
      </c>
      <c r="AF70" s="17">
        <f>AG70*'PAG20 FE GE'!$C$2+AH70*'PAG20 FE GE'!$C$3+AI70*'PAG20 FE GE'!$C$4</f>
        <v>-362</v>
      </c>
      <c r="AG70" s="17">
        <v>-1</v>
      </c>
      <c r="AH70" s="17">
        <v>-1</v>
      </c>
      <c r="AI70" s="17">
        <v>-1</v>
      </c>
      <c r="AJ70" s="27">
        <v>-1</v>
      </c>
      <c r="AK70" t="s">
        <v>424</v>
      </c>
      <c r="AL70" t="s">
        <v>791</v>
      </c>
    </row>
    <row r="71" spans="1:38" ht="15.75" thickBot="1" x14ac:dyDescent="0.3">
      <c r="A71" s="4" t="s">
        <v>2</v>
      </c>
      <c r="B71" s="7" t="s">
        <v>14</v>
      </c>
      <c r="C71" s="5" t="s">
        <v>95</v>
      </c>
      <c r="D71" s="6" t="s">
        <v>5</v>
      </c>
      <c r="E71" s="6" t="str">
        <f t="shared" si="11"/>
        <v>Pesado de Passageiros M3: III : GNL : E5</v>
      </c>
      <c r="F71" s="6" t="s">
        <v>57</v>
      </c>
      <c r="G71" s="6" t="s">
        <v>96</v>
      </c>
      <c r="H71" s="9">
        <f>IF(G71="MJ",INDEX(Tabela1[Energia (MJ/Qtd.)],MATCH(C71,Tabela1[Fuel],0)),IF(G71="GJ",INDEX(Tabela1[Energia (GJ/Qtd.)2],MATCH(C71,Tabela1[Fuel],0)),"XXX"))</f>
        <v>4.8000000000000001E-2</v>
      </c>
      <c r="I71" s="17">
        <f>O71*'PAG100 FE GE'!$E$2+P71*'PAG100 FE GE'!$E$3+Q71*'PAG100 FE GE'!$E$4</f>
        <v>-301.89999999999998</v>
      </c>
      <c r="J71" s="17">
        <f>O71*'PAG20 FE GE'!$E$2+P71*'PAG20 FE GE'!$E$3+Q71*'PAG20 FE GE'!$E$4</f>
        <v>-355.2</v>
      </c>
      <c r="K71" s="17">
        <f>O71*'PAG100 FE GE'!$D$2+P71*'PAG100 FE GE'!$D$3+Q71*'PAG100 FE GE'!$D$4</f>
        <v>-294</v>
      </c>
      <c r="L71" s="17">
        <f>O71*'PAG20 FE GE'!$D$2+P71*'PAG20 FE GE'!$D$3+Q71*'PAG20 FE GE'!$D$4</f>
        <v>-350</v>
      </c>
      <c r="M71" s="17">
        <f>O71*'PAG100 FE GE'!$C$2+P71*'PAG100 FE GE'!$C$3+Q71*'PAG100 FE GE'!$C$4</f>
        <v>-324</v>
      </c>
      <c r="N71" s="17">
        <f>O71*'PAG20 FE GE'!$C$2+P71*'PAG20 FE GE'!$C$3+Q71*'PAG20 FE GE'!$C$4</f>
        <v>-362</v>
      </c>
      <c r="O71" s="17">
        <v>-1</v>
      </c>
      <c r="P71" s="17">
        <v>-1</v>
      </c>
      <c r="Q71" s="17">
        <v>-1</v>
      </c>
      <c r="R71" s="17">
        <f>X71*'PAG100 FE GE'!$E$2+Y71*'PAG100 FE GE'!$E$3+Z71*'PAG100 FE GE'!$E$4</f>
        <v>-301.89999999999998</v>
      </c>
      <c r="S71" s="17">
        <f>X71*'PAG20 FE GE'!$E$2+Y71*'PAG20 FE GE'!$E$3+Z71*'PAG20 FE GE'!$E$4</f>
        <v>-355.2</v>
      </c>
      <c r="T71" s="17">
        <f>X71*'PAG100 FE GE'!$D$2+Y71*'PAG100 FE GE'!$D$3+Z71*'PAG100 FE GE'!$D$4</f>
        <v>-294</v>
      </c>
      <c r="U71" s="17">
        <f>X71*'PAG20 FE GE'!$D$2+Y71*'PAG20 FE GE'!$D$3+Z71*'PAG20 FE GE'!$D$4</f>
        <v>-350</v>
      </c>
      <c r="V71" s="17">
        <f>X71*'PAG100 FE GE'!$C$2+Y71*'PAG100 FE GE'!$C$3+Z71*'PAG100 FE GE'!$C$4</f>
        <v>-324</v>
      </c>
      <c r="W71" s="17">
        <f>X71*'PAG20 FE GE'!$C$2+Y71*'PAG20 FE GE'!$C$3+Z71*'PAG20 FE GE'!$C$4</f>
        <v>-362</v>
      </c>
      <c r="X71" s="17">
        <v>-1</v>
      </c>
      <c r="Y71" s="17">
        <v>-1</v>
      </c>
      <c r="Z71" s="17">
        <v>-1</v>
      </c>
      <c r="AA71" s="17">
        <f>AG71*'PAG100 FE GE'!$E$2+AH71*'PAG100 FE GE'!$E$3+AI71*'PAG100 FE GE'!$E$4</f>
        <v>-301.89999999999998</v>
      </c>
      <c r="AB71" s="17">
        <f>AG71*'PAG20 FE GE'!$E$2+AH71*'PAG20 FE GE'!$E$3+AI71*'PAG20 FE GE'!$E$4</f>
        <v>-355.2</v>
      </c>
      <c r="AC71" s="17">
        <f>AG71*'PAG100 FE GE'!$D$2+AH71*'PAG100 FE GE'!$D$3+AI71*'PAG100 FE GE'!$D$4</f>
        <v>-294</v>
      </c>
      <c r="AD71" s="17">
        <f>AG71*'PAG20 FE GE'!$D$2+AH71*'PAG20 FE GE'!$D$3+AI71*'PAG20 FE GE'!$D$4</f>
        <v>-350</v>
      </c>
      <c r="AE71" s="17">
        <f>AG71*'PAG100 FE GE'!$C$2+AH71*'PAG100 FE GE'!$C$3+AI71*'PAG100 FE GE'!$C$4</f>
        <v>-324</v>
      </c>
      <c r="AF71" s="17">
        <f>AG71*'PAG20 FE GE'!$C$2+AH71*'PAG20 FE GE'!$C$3+AI71*'PAG20 FE GE'!$C$4</f>
        <v>-362</v>
      </c>
      <c r="AG71" s="17">
        <v>-1</v>
      </c>
      <c r="AH71" s="17">
        <v>-1</v>
      </c>
      <c r="AI71" s="17">
        <v>-1</v>
      </c>
      <c r="AJ71" s="27">
        <v>-1</v>
      </c>
      <c r="AK71" t="s">
        <v>424</v>
      </c>
      <c r="AL71" t="s">
        <v>791</v>
      </c>
    </row>
    <row r="72" spans="1:38" ht="15.75" thickBot="1" x14ac:dyDescent="0.3">
      <c r="A72" s="4" t="s">
        <v>2</v>
      </c>
      <c r="B72" s="7" t="s">
        <v>14</v>
      </c>
      <c r="C72" s="5" t="s">
        <v>95</v>
      </c>
      <c r="D72" s="6" t="s">
        <v>6</v>
      </c>
      <c r="E72" s="6" t="str">
        <f t="shared" si="11"/>
        <v>Pesado de Passageiros M3: III : GNL : E6</v>
      </c>
      <c r="F72" s="6" t="s">
        <v>57</v>
      </c>
      <c r="G72" s="6" t="s">
        <v>96</v>
      </c>
      <c r="H72" s="9">
        <f>IF(G72="MJ",INDEX(Tabela1[Energia (MJ/Qtd.)],MATCH(C72,Tabela1[Fuel],0)),IF(G72="GJ",INDEX(Tabela1[Energia (GJ/Qtd.)2],MATCH(C72,Tabela1[Fuel],0)),"XXX"))</f>
        <v>4.8000000000000001E-2</v>
      </c>
      <c r="I72" s="17">
        <f>O72*'PAG100 FE GE'!$E$2+P72*'PAG100 FE GE'!$E$3+Q72*'PAG100 FE GE'!$E$4</f>
        <v>-301.89999999999998</v>
      </c>
      <c r="J72" s="17">
        <f>O72*'PAG20 FE GE'!$E$2+P72*'PAG20 FE GE'!$E$3+Q72*'PAG20 FE GE'!$E$4</f>
        <v>-355.2</v>
      </c>
      <c r="K72" s="17">
        <f>O72*'PAG100 FE GE'!$D$2+P72*'PAG100 FE GE'!$D$3+Q72*'PAG100 FE GE'!$D$4</f>
        <v>-294</v>
      </c>
      <c r="L72" s="17">
        <f>O72*'PAG20 FE GE'!$D$2+P72*'PAG20 FE GE'!$D$3+Q72*'PAG20 FE GE'!$D$4</f>
        <v>-350</v>
      </c>
      <c r="M72" s="17">
        <f>O72*'PAG100 FE GE'!$C$2+P72*'PAG100 FE GE'!$C$3+Q72*'PAG100 FE GE'!$C$4</f>
        <v>-324</v>
      </c>
      <c r="N72" s="17">
        <f>O72*'PAG20 FE GE'!$C$2+P72*'PAG20 FE GE'!$C$3+Q72*'PAG20 FE GE'!$C$4</f>
        <v>-362</v>
      </c>
      <c r="O72" s="17">
        <v>-1</v>
      </c>
      <c r="P72" s="17">
        <v>-1</v>
      </c>
      <c r="Q72" s="17">
        <v>-1</v>
      </c>
      <c r="R72" s="17">
        <f>X72*'PAG100 FE GE'!$E$2+Y72*'PAG100 FE GE'!$E$3+Z72*'PAG100 FE GE'!$E$4</f>
        <v>-301.89999999999998</v>
      </c>
      <c r="S72" s="17">
        <f>X72*'PAG20 FE GE'!$E$2+Y72*'PAG20 FE GE'!$E$3+Z72*'PAG20 FE GE'!$E$4</f>
        <v>-355.2</v>
      </c>
      <c r="T72" s="17">
        <f>X72*'PAG100 FE GE'!$D$2+Y72*'PAG100 FE GE'!$D$3+Z72*'PAG100 FE GE'!$D$4</f>
        <v>-294</v>
      </c>
      <c r="U72" s="17">
        <f>X72*'PAG20 FE GE'!$D$2+Y72*'PAG20 FE GE'!$D$3+Z72*'PAG20 FE GE'!$D$4</f>
        <v>-350</v>
      </c>
      <c r="V72" s="17">
        <f>X72*'PAG100 FE GE'!$C$2+Y72*'PAG100 FE GE'!$C$3+Z72*'PAG100 FE GE'!$C$4</f>
        <v>-324</v>
      </c>
      <c r="W72" s="17">
        <f>X72*'PAG20 FE GE'!$C$2+Y72*'PAG20 FE GE'!$C$3+Z72*'PAG20 FE GE'!$C$4</f>
        <v>-362</v>
      </c>
      <c r="X72" s="17">
        <v>-1</v>
      </c>
      <c r="Y72" s="17">
        <v>-1</v>
      </c>
      <c r="Z72" s="17">
        <v>-1</v>
      </c>
      <c r="AA72" s="17">
        <f>AG72*'PAG100 FE GE'!$E$2+AH72*'PAG100 FE GE'!$E$3+AI72*'PAG100 FE GE'!$E$4</f>
        <v>-301.89999999999998</v>
      </c>
      <c r="AB72" s="17">
        <f>AG72*'PAG20 FE GE'!$E$2+AH72*'PAG20 FE GE'!$E$3+AI72*'PAG20 FE GE'!$E$4</f>
        <v>-355.2</v>
      </c>
      <c r="AC72" s="17">
        <f>AG72*'PAG100 FE GE'!$D$2+AH72*'PAG100 FE GE'!$D$3+AI72*'PAG100 FE GE'!$D$4</f>
        <v>-294</v>
      </c>
      <c r="AD72" s="17">
        <f>AG72*'PAG20 FE GE'!$D$2+AH72*'PAG20 FE GE'!$D$3+AI72*'PAG20 FE GE'!$D$4</f>
        <v>-350</v>
      </c>
      <c r="AE72" s="17">
        <f>AG72*'PAG100 FE GE'!$C$2+AH72*'PAG100 FE GE'!$C$3+AI72*'PAG100 FE GE'!$C$4</f>
        <v>-324</v>
      </c>
      <c r="AF72" s="17">
        <f>AG72*'PAG20 FE GE'!$C$2+AH72*'PAG20 FE GE'!$C$3+AI72*'PAG20 FE GE'!$C$4</f>
        <v>-362</v>
      </c>
      <c r="AG72" s="17">
        <v>-1</v>
      </c>
      <c r="AH72" s="17">
        <v>-1</v>
      </c>
      <c r="AI72" s="17">
        <v>-1</v>
      </c>
      <c r="AJ72" s="27">
        <v>-1</v>
      </c>
      <c r="AK72" t="s">
        <v>424</v>
      </c>
      <c r="AL72" t="s">
        <v>791</v>
      </c>
    </row>
    <row r="73" spans="1:38" ht="15.75" thickBot="1" x14ac:dyDescent="0.3">
      <c r="A73" s="4" t="s">
        <v>2</v>
      </c>
      <c r="B73" s="7" t="s">
        <v>14</v>
      </c>
      <c r="C73" s="5" t="s">
        <v>95</v>
      </c>
      <c r="D73" s="6" t="s">
        <v>81</v>
      </c>
      <c r="E73" s="6" t="str">
        <f t="shared" si="11"/>
        <v>Pesado de Passageiros M3: III : GNL : E6 D/E E7</v>
      </c>
      <c r="F73" s="6" t="s">
        <v>57</v>
      </c>
      <c r="G73" s="6" t="s">
        <v>96</v>
      </c>
      <c r="H73" s="9">
        <f>IF(G73="MJ",INDEX(Tabela1[Energia (MJ/Qtd.)],MATCH(C73,Tabela1[Fuel],0)),IF(G73="GJ",INDEX(Tabela1[Energia (GJ/Qtd.)2],MATCH(C73,Tabela1[Fuel],0)),"XXX"))</f>
        <v>4.8000000000000001E-2</v>
      </c>
      <c r="I73" s="17">
        <f>O73*'PAG100 FE GE'!$E$2+P73*'PAG100 FE GE'!$E$3+Q73*'PAG100 FE GE'!$E$4</f>
        <v>-301.89999999999998</v>
      </c>
      <c r="J73" s="17">
        <f>O73*'PAG20 FE GE'!$E$2+P73*'PAG20 FE GE'!$E$3+Q73*'PAG20 FE GE'!$E$4</f>
        <v>-355.2</v>
      </c>
      <c r="K73" s="17">
        <f>O73*'PAG100 FE GE'!$D$2+P73*'PAG100 FE GE'!$D$3+Q73*'PAG100 FE GE'!$D$4</f>
        <v>-294</v>
      </c>
      <c r="L73" s="17">
        <f>O73*'PAG20 FE GE'!$D$2+P73*'PAG20 FE GE'!$D$3+Q73*'PAG20 FE GE'!$D$4</f>
        <v>-350</v>
      </c>
      <c r="M73" s="17">
        <f>O73*'PAG100 FE GE'!$C$2+P73*'PAG100 FE GE'!$C$3+Q73*'PAG100 FE GE'!$C$4</f>
        <v>-324</v>
      </c>
      <c r="N73" s="17">
        <f>O73*'PAG20 FE GE'!$C$2+P73*'PAG20 FE GE'!$C$3+Q73*'PAG20 FE GE'!$C$4</f>
        <v>-362</v>
      </c>
      <c r="O73" s="17">
        <v>-1</v>
      </c>
      <c r="P73" s="17">
        <v>-1</v>
      </c>
      <c r="Q73" s="17">
        <v>-1</v>
      </c>
      <c r="R73" s="17">
        <f>X73*'PAG100 FE GE'!$E$2+Y73*'PAG100 FE GE'!$E$3+Z73*'PAG100 FE GE'!$E$4</f>
        <v>-301.89999999999998</v>
      </c>
      <c r="S73" s="17">
        <f>X73*'PAG20 FE GE'!$E$2+Y73*'PAG20 FE GE'!$E$3+Z73*'PAG20 FE GE'!$E$4</f>
        <v>-355.2</v>
      </c>
      <c r="T73" s="17">
        <f>X73*'PAG100 FE GE'!$D$2+Y73*'PAG100 FE GE'!$D$3+Z73*'PAG100 FE GE'!$D$4</f>
        <v>-294</v>
      </c>
      <c r="U73" s="17">
        <f>X73*'PAG20 FE GE'!$D$2+Y73*'PAG20 FE GE'!$D$3+Z73*'PAG20 FE GE'!$D$4</f>
        <v>-350</v>
      </c>
      <c r="V73" s="17">
        <f>X73*'PAG100 FE GE'!$C$2+Y73*'PAG100 FE GE'!$C$3+Z73*'PAG100 FE GE'!$C$4</f>
        <v>-324</v>
      </c>
      <c r="W73" s="17">
        <f>X73*'PAG20 FE GE'!$C$2+Y73*'PAG20 FE GE'!$C$3+Z73*'PAG20 FE GE'!$C$4</f>
        <v>-362</v>
      </c>
      <c r="X73" s="17">
        <v>-1</v>
      </c>
      <c r="Y73" s="17">
        <v>-1</v>
      </c>
      <c r="Z73" s="17">
        <v>-1</v>
      </c>
      <c r="AA73" s="17">
        <f>AG73*'PAG100 FE GE'!$E$2+AH73*'PAG100 FE GE'!$E$3+AI73*'PAG100 FE GE'!$E$4</f>
        <v>-301.89999999999998</v>
      </c>
      <c r="AB73" s="17">
        <f>AG73*'PAG20 FE GE'!$E$2+AH73*'PAG20 FE GE'!$E$3+AI73*'PAG20 FE GE'!$E$4</f>
        <v>-355.2</v>
      </c>
      <c r="AC73" s="17">
        <f>AG73*'PAG100 FE GE'!$D$2+AH73*'PAG100 FE GE'!$D$3+AI73*'PAG100 FE GE'!$D$4</f>
        <v>-294</v>
      </c>
      <c r="AD73" s="17">
        <f>AG73*'PAG20 FE GE'!$D$2+AH73*'PAG20 FE GE'!$D$3+AI73*'PAG20 FE GE'!$D$4</f>
        <v>-350</v>
      </c>
      <c r="AE73" s="17">
        <f>AG73*'PAG100 FE GE'!$C$2+AH73*'PAG100 FE GE'!$C$3+AI73*'PAG100 FE GE'!$C$4</f>
        <v>-324</v>
      </c>
      <c r="AF73" s="17">
        <f>AG73*'PAG20 FE GE'!$C$2+AH73*'PAG20 FE GE'!$C$3+AI73*'PAG20 FE GE'!$C$4</f>
        <v>-362</v>
      </c>
      <c r="AG73" s="17">
        <v>-1</v>
      </c>
      <c r="AH73" s="17">
        <v>-1</v>
      </c>
      <c r="AI73" s="17">
        <v>-1</v>
      </c>
      <c r="AJ73" s="27">
        <v>-1</v>
      </c>
      <c r="AK73" t="s">
        <v>424</v>
      </c>
      <c r="AL73" t="s">
        <v>791</v>
      </c>
    </row>
    <row r="74" spans="1:38" ht="15.75" thickBot="1" x14ac:dyDescent="0.3">
      <c r="A74" s="4" t="s">
        <v>46</v>
      </c>
      <c r="B74" s="7" t="s">
        <v>79</v>
      </c>
      <c r="C74" s="5" t="s">
        <v>3</v>
      </c>
      <c r="D74" s="6" t="s">
        <v>8</v>
      </c>
      <c r="E74" s="6" t="str">
        <f t="shared" si="11"/>
        <v>Pesado de Mercadorias N3: &lt;20 t : Gasóleo : E0</v>
      </c>
      <c r="F74" s="6" t="s">
        <v>55</v>
      </c>
      <c r="G74" s="6" t="s">
        <v>96</v>
      </c>
      <c r="H74" s="9">
        <f>IF(G74="MJ",INDEX(Tabela1[Energia (MJ/Qtd.)],MATCH(C74,Tabela1[Fuel],0)),IF(G74="GJ",INDEX(Tabela1[Energia (GJ/Qtd.)2],MATCH(C74,Tabela1[Fuel],0)),"XXX"))</f>
        <v>3.5868000000000004E-2</v>
      </c>
      <c r="I74" s="9">
        <f>O74*'PAG100 FE GE'!$E$2+P74*'PAG100 FE GE'!$E$3+Q74*'PAG100 FE GE'!$E$4</f>
        <v>75658.41</v>
      </c>
      <c r="J74" s="9">
        <f>O74*'PAG20 FE GE'!$E$2+P74*'PAG20 FE GE'!$E$3+Q74*'PAG20 FE GE'!$E$4</f>
        <v>76132.78</v>
      </c>
      <c r="K74" s="9">
        <f>O74*'PAG100 FE GE'!$D$2+P74*'PAG100 FE GE'!$D$3+Q74*'PAG100 FE GE'!$D$4</f>
        <v>75629.7</v>
      </c>
      <c r="L74" s="9">
        <f>O74*'PAG20 FE GE'!$D$2+P74*'PAG20 FE GE'!$D$3+Q74*'PAG20 FE GE'!$D$4</f>
        <v>76133.3</v>
      </c>
      <c r="M74" s="9">
        <f>O74*'PAG100 FE GE'!$C$2+P74*'PAG100 FE GE'!$C$3+Q74*'PAG100 FE GE'!$C$4</f>
        <v>75725.100000000006</v>
      </c>
      <c r="N74" s="9">
        <f>O74*'PAG20 FE GE'!$C$2+P74*'PAG20 FE GE'!$C$3+Q74*'PAG20 FE GE'!$C$4</f>
        <v>76110.100000000006</v>
      </c>
      <c r="O74" s="9">
        <f t="shared" ref="O74:O77" si="12">74.4*1000</f>
        <v>74400</v>
      </c>
      <c r="P74" s="9">
        <f>0.0089*1000</f>
        <v>8.9</v>
      </c>
      <c r="Q74" s="9">
        <f>0.0037*1000</f>
        <v>3.7</v>
      </c>
      <c r="R74" s="9">
        <f>X74*'PAG100 FE GE'!$E$2+Y74*'PAG100 FE GE'!$E$3+Z74*'PAG100 FE GE'!$E$4</f>
        <v>2713.7158498800004</v>
      </c>
      <c r="S74" s="9">
        <f>X74*'PAG20 FE GE'!$E$2+Y74*'PAG20 FE GE'!$E$3+Z74*'PAG20 FE GE'!$E$4</f>
        <v>2730.7305530400004</v>
      </c>
      <c r="T74" s="9">
        <f>X74*'PAG100 FE GE'!$D$2+Y74*'PAG100 FE GE'!$D$3+Z74*'PAG100 FE GE'!$D$4</f>
        <v>2712.6860796000001</v>
      </c>
      <c r="U74" s="9">
        <f>X74*'PAG20 FE GE'!$D$2+Y74*'PAG20 FE GE'!$D$3+Z74*'PAG20 FE GE'!$D$4</f>
        <v>2730.7492044000001</v>
      </c>
      <c r="V74" s="9">
        <f>X74*'PAG100 FE GE'!$C$2+Y74*'PAG100 FE GE'!$C$3+Z74*'PAG100 FE GE'!$C$4</f>
        <v>2716.1078868</v>
      </c>
      <c r="W74" s="9">
        <f>X74*'PAG20 FE GE'!$C$2+Y74*'PAG20 FE GE'!$C$3+Z74*'PAG20 FE GE'!$C$4</f>
        <v>2729.9170668000002</v>
      </c>
      <c r="X74" s="9">
        <f t="shared" ref="X74:Z103" si="13">O74*$H74</f>
        <v>2668.5792000000001</v>
      </c>
      <c r="Y74" s="9">
        <f t="shared" si="13"/>
        <v>0.31922520000000004</v>
      </c>
      <c r="Z74" s="9">
        <f t="shared" si="13"/>
        <v>0.13271160000000001</v>
      </c>
      <c r="AA74" s="9">
        <f>AG74*'PAG100 FE GE'!$E$2+AH74*'PAG100 FE GE'!$E$3+AI74*'PAG100 FE GE'!$E$4</f>
        <v>613.75768400000004</v>
      </c>
      <c r="AB74" s="9">
        <f>AG74*'PAG20 FE GE'!$E$2+AH74*'PAG20 FE GE'!$E$3+AI74*'PAG20 FE GE'!$E$4</f>
        <v>617.59315200000003</v>
      </c>
      <c r="AC74" s="9">
        <f>AG74*'PAG100 FE GE'!$D$2+AH74*'PAG100 FE GE'!$D$3+AI74*'PAG100 FE GE'!$D$4</f>
        <v>613.52487999999994</v>
      </c>
      <c r="AD74" s="9">
        <f>AG74*'PAG20 FE GE'!$D$2+AH74*'PAG20 FE GE'!$D$3+AI74*'PAG20 FE GE'!$D$4</f>
        <v>617.59659999999985</v>
      </c>
      <c r="AE74" s="9">
        <f>AG74*'PAG100 FE GE'!$C$2+AH74*'PAG100 FE GE'!$C$3+AI74*'PAG100 FE GE'!$C$4</f>
        <v>614.29899999999998</v>
      </c>
      <c r="AF74" s="9">
        <f>AG74*'PAG20 FE GE'!$C$2+AH74*'PAG20 FE GE'!$C$3+AI74*'PAG20 FE GE'!$C$4</f>
        <v>617.41111999999987</v>
      </c>
      <c r="AG74" s="9">
        <v>603.55999999999995</v>
      </c>
      <c r="AH74" s="9">
        <f>71.96/1000</f>
        <v>7.1959999999999996E-2</v>
      </c>
      <c r="AI74" s="9">
        <v>0.03</v>
      </c>
      <c r="AJ74" s="11">
        <f t="shared" ref="AJ74:AJ97" si="14">AG74/X74*100</f>
        <v>22.617278887581822</v>
      </c>
      <c r="AK74" t="s">
        <v>424</v>
      </c>
      <c r="AL74" t="s">
        <v>791</v>
      </c>
    </row>
    <row r="75" spans="1:38" ht="15.75" thickBot="1" x14ac:dyDescent="0.3">
      <c r="A75" s="4" t="s">
        <v>46</v>
      </c>
      <c r="B75" s="7" t="s">
        <v>79</v>
      </c>
      <c r="C75" s="5" t="s">
        <v>3</v>
      </c>
      <c r="D75" s="6" t="s">
        <v>7</v>
      </c>
      <c r="E75" s="6" t="str">
        <f t="shared" si="11"/>
        <v>Pesado de Mercadorias N3: &lt;20 t : Gasóleo : E1</v>
      </c>
      <c r="F75" s="6" t="s">
        <v>55</v>
      </c>
      <c r="G75" s="6" t="s">
        <v>96</v>
      </c>
      <c r="H75" s="9">
        <f>IF(G75="MJ",INDEX(Tabela1[Energia (MJ/Qtd.)],MATCH(C75,Tabela1[Fuel],0)),IF(G75="GJ",INDEX(Tabela1[Energia (GJ/Qtd.)2],MATCH(C75,Tabela1[Fuel],0)),"XXX"))</f>
        <v>3.5868000000000004E-2</v>
      </c>
      <c r="I75" s="9">
        <f>O75*'PAG100 FE GE'!$E$2+P75*'PAG100 FE GE'!$E$3+Q75*'PAG100 FE GE'!$E$4</f>
        <v>74968.740000000005</v>
      </c>
      <c r="J75" s="9">
        <f>O75*'PAG20 FE GE'!$E$2+P75*'PAG20 FE GE'!$E$3+Q75*'PAG20 FE GE'!$E$4</f>
        <v>75533.72</v>
      </c>
      <c r="K75" s="9">
        <f>O75*'PAG100 FE GE'!$D$2+P75*'PAG100 FE GE'!$D$3+Q75*'PAG100 FE GE'!$D$4</f>
        <v>74961.8</v>
      </c>
      <c r="L75" s="9">
        <f>O75*'PAG20 FE GE'!$D$2+P75*'PAG20 FE GE'!$D$3+Q75*'PAG20 FE GE'!$D$4</f>
        <v>75565</v>
      </c>
      <c r="M75" s="9">
        <f>O75*'PAG100 FE GE'!$C$2+P75*'PAG100 FE GE'!$C$3+Q75*'PAG100 FE GE'!$C$4</f>
        <v>74963</v>
      </c>
      <c r="N75" s="9">
        <f>O75*'PAG20 FE GE'!$C$2+P75*'PAG20 FE GE'!$C$3+Q75*'PAG20 FE GE'!$C$4</f>
        <v>75452.2</v>
      </c>
      <c r="O75" s="9">
        <f t="shared" si="12"/>
        <v>74400</v>
      </c>
      <c r="P75" s="9">
        <f>0.0106*1000</f>
        <v>10.6</v>
      </c>
      <c r="Q75" s="9">
        <f>0.001*1000</f>
        <v>1</v>
      </c>
      <c r="R75" s="9">
        <f>X75*'PAG100 FE GE'!$E$2+Y75*'PAG100 FE GE'!$E$3+Z75*'PAG100 FE GE'!$E$4</f>
        <v>2688.97876632</v>
      </c>
      <c r="S75" s="9">
        <f>X75*'PAG20 FE GE'!$E$2+Y75*'PAG20 FE GE'!$E$3+Z75*'PAG20 FE GE'!$E$4</f>
        <v>2709.24346896</v>
      </c>
      <c r="T75" s="9">
        <f>X75*'PAG100 FE GE'!$D$2+Y75*'PAG100 FE GE'!$D$3+Z75*'PAG100 FE GE'!$D$4</f>
        <v>2688.7298424000001</v>
      </c>
      <c r="U75" s="9">
        <f>X75*'PAG20 FE GE'!$D$2+Y75*'PAG20 FE GE'!$D$3+Z75*'PAG20 FE GE'!$D$4</f>
        <v>2710.3654200000001</v>
      </c>
      <c r="V75" s="9">
        <f>X75*'PAG100 FE GE'!$C$2+Y75*'PAG100 FE GE'!$C$3+Z75*'PAG100 FE GE'!$C$4</f>
        <v>2688.772884</v>
      </c>
      <c r="W75" s="9">
        <f>X75*'PAG20 FE GE'!$C$2+Y75*'PAG20 FE GE'!$C$3+Z75*'PAG20 FE GE'!$C$4</f>
        <v>2706.3195095999999</v>
      </c>
      <c r="X75" s="9">
        <f t="shared" si="13"/>
        <v>2668.5792000000001</v>
      </c>
      <c r="Y75" s="9">
        <f t="shared" si="13"/>
        <v>0.38020080000000001</v>
      </c>
      <c r="Z75" s="9">
        <f t="shared" si="13"/>
        <v>3.5868000000000004E-2</v>
      </c>
      <c r="AA75" s="9">
        <f>AG75*'PAG100 FE GE'!$E$2+AH75*'PAG100 FE GE'!$E$3+AI75*'PAG100 FE GE'!$E$4</f>
        <v>536.82056299999988</v>
      </c>
      <c r="AB75" s="9">
        <f>AG75*'PAG20 FE GE'!$E$2+AH75*'PAG20 FE GE'!$E$3+AI75*'PAG20 FE GE'!$E$4</f>
        <v>540.86976399999992</v>
      </c>
      <c r="AC75" s="9">
        <f>AG75*'PAG100 FE GE'!$D$2+AH75*'PAG100 FE GE'!$D$3+AI75*'PAG100 FE GE'!$D$4</f>
        <v>536.77215999999999</v>
      </c>
      <c r="AD75" s="9">
        <f>AG75*'PAG20 FE GE'!$D$2+AH75*'PAG20 FE GE'!$D$3+AI75*'PAG20 FE GE'!$D$4</f>
        <v>541.09544999999991</v>
      </c>
      <c r="AE75" s="9">
        <f>AG75*'PAG100 FE GE'!$C$2+AH75*'PAG100 FE GE'!$C$3+AI75*'PAG100 FE GE'!$C$4</f>
        <v>536.77525000000003</v>
      </c>
      <c r="AF75" s="9">
        <f>AG75*'PAG20 FE GE'!$C$2+AH75*'PAG20 FE GE'!$C$3+AI75*'PAG20 FE GE'!$C$4</f>
        <v>540.28283999999996</v>
      </c>
      <c r="AG75" s="9">
        <v>532.79</v>
      </c>
      <c r="AH75" s="9">
        <f>75.97/1000</f>
        <v>7.5969999999999996E-2</v>
      </c>
      <c r="AI75" s="9">
        <v>7.0000000000000001E-3</v>
      </c>
      <c r="AJ75" s="11">
        <f t="shared" si="14"/>
        <v>19.965305882620981</v>
      </c>
      <c r="AK75" t="s">
        <v>424</v>
      </c>
      <c r="AL75" t="s">
        <v>791</v>
      </c>
    </row>
    <row r="76" spans="1:38" ht="15.75" thickBot="1" x14ac:dyDescent="0.3">
      <c r="A76" s="4" t="s">
        <v>46</v>
      </c>
      <c r="B76" s="7" t="s">
        <v>79</v>
      </c>
      <c r="C76" s="5" t="s">
        <v>3</v>
      </c>
      <c r="D76" s="6" t="s">
        <v>9</v>
      </c>
      <c r="E76" s="6" t="str">
        <f t="shared" si="11"/>
        <v>Pesado de Mercadorias N3: &lt;20 t : Gasóleo : E2</v>
      </c>
      <c r="F76" s="6" t="s">
        <v>55</v>
      </c>
      <c r="G76" s="6" t="s">
        <v>96</v>
      </c>
      <c r="H76" s="9">
        <f>IF(G76="MJ",INDEX(Tabela1[Energia (MJ/Qtd.)],MATCH(C76,Tabela1[Fuel],0)),IF(G76="GJ",INDEX(Tabela1[Energia (GJ/Qtd.)2],MATCH(C76,Tabela1[Fuel],0)),"XXX"))</f>
        <v>3.5868000000000004E-2</v>
      </c>
      <c r="I76" s="9">
        <f>O76*'PAG100 FE GE'!$E$2+P76*'PAG100 FE GE'!$E$3+Q76*'PAG100 FE GE'!$E$4</f>
        <v>74880.06</v>
      </c>
      <c r="J76" s="9">
        <f>O76*'PAG20 FE GE'!$E$2+P76*'PAG20 FE GE'!$E$3+Q76*'PAG20 FE GE'!$E$4</f>
        <v>75327.78</v>
      </c>
      <c r="K76" s="9">
        <f>O76*'PAG100 FE GE'!$D$2+P76*'PAG100 FE GE'!$D$3+Q76*'PAG100 FE GE'!$D$4</f>
        <v>74873.7</v>
      </c>
      <c r="L76" s="9">
        <f>O76*'PAG20 FE GE'!$D$2+P76*'PAG20 FE GE'!$D$3+Q76*'PAG20 FE GE'!$D$4</f>
        <v>75351.600000000006</v>
      </c>
      <c r="M76" s="9">
        <f>O76*'PAG100 FE GE'!$C$2+P76*'PAG100 FE GE'!$C$3+Q76*'PAG100 FE GE'!$C$4</f>
        <v>74878.2</v>
      </c>
      <c r="N76" s="9">
        <f>O76*'PAG20 FE GE'!$C$2+P76*'PAG20 FE GE'!$C$3+Q76*'PAG20 FE GE'!$C$4</f>
        <v>75264.900000000009</v>
      </c>
      <c r="O76" s="9">
        <f t="shared" si="12"/>
        <v>74400</v>
      </c>
      <c r="P76" s="9">
        <f>0.0084*1000</f>
        <v>8.4</v>
      </c>
      <c r="Q76" s="9">
        <f>0.0009*1000</f>
        <v>0.9</v>
      </c>
      <c r="R76" s="9">
        <f>X76*'PAG100 FE GE'!$E$2+Y76*'PAG100 FE GE'!$E$3+Z76*'PAG100 FE GE'!$E$4</f>
        <v>2685.7979920799999</v>
      </c>
      <c r="S76" s="9">
        <f>X76*'PAG20 FE GE'!$E$2+Y76*'PAG20 FE GE'!$E$3+Z76*'PAG20 FE GE'!$E$4</f>
        <v>2701.8568130399999</v>
      </c>
      <c r="T76" s="9">
        <f>X76*'PAG100 FE GE'!$D$2+Y76*'PAG100 FE GE'!$D$3+Z76*'PAG100 FE GE'!$D$4</f>
        <v>2685.5698716000002</v>
      </c>
      <c r="U76" s="9">
        <f>X76*'PAG20 FE GE'!$D$2+Y76*'PAG20 FE GE'!$D$3+Z76*'PAG20 FE GE'!$D$4</f>
        <v>2702.7111887999999</v>
      </c>
      <c r="V76" s="9">
        <f>X76*'PAG100 FE GE'!$C$2+Y76*'PAG100 FE GE'!$C$3+Z76*'PAG100 FE GE'!$C$4</f>
        <v>2685.7312775999999</v>
      </c>
      <c r="W76" s="9">
        <f>X76*'PAG20 FE GE'!$C$2+Y76*'PAG20 FE GE'!$C$3+Z76*'PAG20 FE GE'!$C$4</f>
        <v>2699.6014332</v>
      </c>
      <c r="X76" s="9">
        <f t="shared" si="13"/>
        <v>2668.5792000000001</v>
      </c>
      <c r="Y76" s="9">
        <f t="shared" si="13"/>
        <v>0.30129120000000004</v>
      </c>
      <c r="Z76" s="9">
        <f t="shared" si="13"/>
        <v>3.2281200000000003E-2</v>
      </c>
      <c r="AA76" s="9">
        <f>AG76*'PAG100 FE GE'!$E$2+AH76*'PAG100 FE GE'!$E$3+AI76*'PAG100 FE GE'!$E$4</f>
        <v>530.30245400000013</v>
      </c>
      <c r="AB76" s="9">
        <f>AG76*'PAG20 FE GE'!$E$2+AH76*'PAG20 FE GE'!$E$3+AI76*'PAG20 FE GE'!$E$4</f>
        <v>533.4610120000001</v>
      </c>
      <c r="AC76" s="9">
        <f>AG76*'PAG100 FE GE'!$D$2+AH76*'PAG100 FE GE'!$D$3+AI76*'PAG100 FE GE'!$D$4</f>
        <v>530.25477999999998</v>
      </c>
      <c r="AD76" s="9">
        <f>AG76*'PAG20 FE GE'!$D$2+AH76*'PAG20 FE GE'!$D$3+AI76*'PAG20 FE GE'!$D$4</f>
        <v>533.62590000000012</v>
      </c>
      <c r="AE76" s="9">
        <f>AG76*'PAG100 FE GE'!$C$2+AH76*'PAG100 FE GE'!$C$3+AI76*'PAG100 FE GE'!$C$4</f>
        <v>530.29809999999998</v>
      </c>
      <c r="AF76" s="9">
        <f>AG76*'PAG20 FE GE'!$C$2+AH76*'PAG20 FE GE'!$C$3+AI76*'PAG20 FE GE'!$C$4</f>
        <v>533.02301999999997</v>
      </c>
      <c r="AG76" s="9">
        <v>526.82000000000005</v>
      </c>
      <c r="AH76" s="9">
        <f>59.26/1000</f>
        <v>5.926E-2</v>
      </c>
      <c r="AI76" s="9">
        <f>6.7/1000</f>
        <v>6.7000000000000002E-3</v>
      </c>
      <c r="AJ76" s="11">
        <f t="shared" si="14"/>
        <v>19.741591330697624</v>
      </c>
      <c r="AK76" t="s">
        <v>424</v>
      </c>
      <c r="AL76" t="s">
        <v>791</v>
      </c>
    </row>
    <row r="77" spans="1:38" ht="15.75" thickBot="1" x14ac:dyDescent="0.3">
      <c r="A77" s="4" t="s">
        <v>46</v>
      </c>
      <c r="B77" s="7" t="s">
        <v>79</v>
      </c>
      <c r="C77" s="5" t="s">
        <v>3</v>
      </c>
      <c r="D77" s="6" t="s">
        <v>10</v>
      </c>
      <c r="E77" s="6" t="str">
        <f t="shared" si="11"/>
        <v>Pesado de Mercadorias N3: &lt;20 t : Gasóleo : E3</v>
      </c>
      <c r="F77" s="6" t="s">
        <v>55</v>
      </c>
      <c r="G77" s="6" t="s">
        <v>96</v>
      </c>
      <c r="H77" s="9">
        <f>IF(G77="MJ",INDEX(Tabela1[Energia (MJ/Qtd.)],MATCH(C77,Tabela1[Fuel],0)),IF(G77="GJ",INDEX(Tabela1[Energia (GJ/Qtd.)2],MATCH(C77,Tabela1[Fuel],0)),"XXX"))</f>
        <v>3.5868000000000004E-2</v>
      </c>
      <c r="I77" s="9">
        <f>O77*'PAG100 FE GE'!$E$2+P77*'PAG100 FE GE'!$E$3+Q77*'PAG100 FE GE'!$E$4</f>
        <v>74776.44</v>
      </c>
      <c r="J77" s="9">
        <f>O77*'PAG20 FE GE'!$E$2+P77*'PAG20 FE GE'!$E$3+Q77*'PAG20 FE GE'!$E$4</f>
        <v>75234.820000000007</v>
      </c>
      <c r="K77" s="9">
        <f>O77*'PAG100 FE GE'!$D$2+P77*'PAG100 FE GE'!$D$3+Q77*'PAG100 FE GE'!$D$4</f>
        <v>74773.3</v>
      </c>
      <c r="L77" s="9">
        <f>O77*'PAG20 FE GE'!$D$2+P77*'PAG20 FE GE'!$D$3+Q77*'PAG20 FE GE'!$D$4</f>
        <v>75263</v>
      </c>
      <c r="M77" s="9">
        <f>O77*'PAG100 FE GE'!$C$2+P77*'PAG100 FE GE'!$C$3+Q77*'PAG100 FE GE'!$C$4</f>
        <v>74764</v>
      </c>
      <c r="N77" s="9">
        <f>O77*'PAG20 FE GE'!$C$2+P77*'PAG20 FE GE'!$C$3+Q77*'PAG20 FE GE'!$C$4</f>
        <v>75163.7</v>
      </c>
      <c r="O77" s="9">
        <f t="shared" si="12"/>
        <v>74400</v>
      </c>
      <c r="P77" s="9">
        <f>0.0086*1000</f>
        <v>8.6</v>
      </c>
      <c r="Q77" s="9">
        <f>0.0005*1000</f>
        <v>0.5</v>
      </c>
      <c r="R77" s="9">
        <f>X77*'PAG100 FE GE'!$E$2+Y77*'PAG100 FE GE'!$E$3+Z77*'PAG100 FE GE'!$E$4</f>
        <v>2682.0813499200003</v>
      </c>
      <c r="S77" s="9">
        <f>X77*'PAG20 FE GE'!$E$2+Y77*'PAG20 FE GE'!$E$3+Z77*'PAG20 FE GE'!$E$4</f>
        <v>2698.5225237600002</v>
      </c>
      <c r="T77" s="9">
        <f>X77*'PAG100 FE GE'!$D$2+Y77*'PAG100 FE GE'!$D$3+Z77*'PAG100 FE GE'!$D$4</f>
        <v>2681.9687244000002</v>
      </c>
      <c r="U77" s="9">
        <f>X77*'PAG20 FE GE'!$D$2+Y77*'PAG20 FE GE'!$D$3+Z77*'PAG20 FE GE'!$D$4</f>
        <v>2699.5332840000001</v>
      </c>
      <c r="V77" s="9">
        <f>X77*'PAG100 FE GE'!$C$2+Y77*'PAG100 FE GE'!$C$3+Z77*'PAG100 FE GE'!$C$4</f>
        <v>2681.6351520000003</v>
      </c>
      <c r="W77" s="9">
        <f>X77*'PAG20 FE GE'!$C$2+Y77*'PAG20 FE GE'!$C$3+Z77*'PAG20 FE GE'!$C$4</f>
        <v>2695.9715916</v>
      </c>
      <c r="X77" s="9">
        <f t="shared" si="13"/>
        <v>2668.5792000000001</v>
      </c>
      <c r="Y77" s="9">
        <f t="shared" si="13"/>
        <v>0.30846480000000004</v>
      </c>
      <c r="Z77" s="9">
        <f t="shared" si="13"/>
        <v>1.7934000000000002E-2</v>
      </c>
      <c r="AA77" s="9">
        <f>AG77*'PAG100 FE GE'!$E$2+AH77*'PAG100 FE GE'!$E$3+AI77*'PAG100 FE GE'!$E$4</f>
        <v>595.09175500000003</v>
      </c>
      <c r="AB77" s="9">
        <f>AG77*'PAG20 FE GE'!$E$2+AH77*'PAG20 FE GE'!$E$3+AI77*'PAG20 FE GE'!$E$4</f>
        <v>598.73481000000004</v>
      </c>
      <c r="AC77" s="9">
        <f>AG77*'PAG100 FE GE'!$D$2+AH77*'PAG100 FE GE'!$D$3+AI77*'PAG100 FE GE'!$D$4</f>
        <v>595.06475</v>
      </c>
      <c r="AD77" s="9">
        <f>AG77*'PAG20 FE GE'!$D$2+AH77*'PAG20 FE GE'!$D$3+AI77*'PAG20 FE GE'!$D$4</f>
        <v>598.95646999999997</v>
      </c>
      <c r="AE77" s="9">
        <f>AG77*'PAG100 FE GE'!$C$2+AH77*'PAG100 FE GE'!$C$3+AI77*'PAG100 FE GE'!$C$4</f>
        <v>594.99928999999997</v>
      </c>
      <c r="AF77" s="9">
        <f>AG77*'PAG20 FE GE'!$C$2+AH77*'PAG20 FE GE'!$C$3+AI77*'PAG20 FE GE'!$C$4</f>
        <v>598.17367000000002</v>
      </c>
      <c r="AG77" s="9">
        <v>592.03</v>
      </c>
      <c r="AH77" s="9">
        <f>68.35/1000</f>
        <v>6.8349999999999994E-2</v>
      </c>
      <c r="AI77" s="9">
        <f>4.23/1000</f>
        <v>4.2300000000000003E-3</v>
      </c>
      <c r="AJ77" s="11">
        <f t="shared" si="14"/>
        <v>22.185213764687965</v>
      </c>
      <c r="AK77" t="s">
        <v>424</v>
      </c>
      <c r="AL77" t="s">
        <v>791</v>
      </c>
    </row>
    <row r="78" spans="1:38" ht="15.75" thickBot="1" x14ac:dyDescent="0.3">
      <c r="A78" s="4" t="s">
        <v>46</v>
      </c>
      <c r="B78" s="7" t="s">
        <v>79</v>
      </c>
      <c r="C78" s="5" t="s">
        <v>3</v>
      </c>
      <c r="D78" s="6" t="s">
        <v>4</v>
      </c>
      <c r="E78" s="6" t="str">
        <f t="shared" si="11"/>
        <v>Pesado de Mercadorias N3: &lt;20 t : Gasóleo : E4</v>
      </c>
      <c r="F78" s="6" t="s">
        <v>55</v>
      </c>
      <c r="G78" s="6" t="s">
        <v>96</v>
      </c>
      <c r="H78" s="9">
        <f>IF(G78="MJ",INDEX(Tabela1[Energia (MJ/Qtd.)],MATCH(C78,Tabela1[Fuel],0)),IF(G78="GJ",INDEX(Tabela1[Energia (GJ/Qtd.)2],MATCH(C78,Tabela1[Fuel],0)),"XXX"))</f>
        <v>3.5868000000000004E-2</v>
      </c>
      <c r="I78" s="9">
        <f>O78*'PAG100 FE GE'!$E$2+P78*'PAG100 FE GE'!$E$3+Q78*'PAG100 FE GE'!$E$4</f>
        <v>75156.240000000005</v>
      </c>
      <c r="J78" s="9">
        <f>O78*'PAG20 FE GE'!$E$2+P78*'PAG20 FE GE'!$E$3+Q78*'PAG20 FE GE'!$E$4</f>
        <v>75188.22</v>
      </c>
      <c r="K78" s="9">
        <f>O78*'PAG100 FE GE'!$D$2+P78*'PAG100 FE GE'!$D$3+Q78*'PAG100 FE GE'!$D$4</f>
        <v>75144.3</v>
      </c>
      <c r="L78" s="9">
        <f>O78*'PAG20 FE GE'!$D$2+P78*'PAG20 FE GE'!$D$3+Q78*'PAG20 FE GE'!$D$4</f>
        <v>75177</v>
      </c>
      <c r="M78" s="9">
        <f>O78*'PAG100 FE GE'!$C$2+P78*'PAG100 FE GE'!$C$3+Q78*'PAG100 FE GE'!$C$4</f>
        <v>75192</v>
      </c>
      <c r="N78" s="9">
        <f>O78*'PAG20 FE GE'!$C$2+P78*'PAG20 FE GE'!$C$3+Q78*'PAG20 FE GE'!$C$4</f>
        <v>75206.7</v>
      </c>
      <c r="O78" s="9">
        <f>74.73*1000</f>
        <v>74730</v>
      </c>
      <c r="P78" s="9">
        <f>0.0006*1000</f>
        <v>0.6</v>
      </c>
      <c r="Q78" s="9">
        <f>0.0015*1000</f>
        <v>1.5</v>
      </c>
      <c r="R78" s="9">
        <f>X78*'PAG100 FE GE'!$E$2+Y78*'PAG100 FE GE'!$E$3+Z78*'PAG100 FE GE'!$E$4</f>
        <v>2695.7040163200004</v>
      </c>
      <c r="S78" s="9">
        <f>X78*'PAG20 FE GE'!$E$2+Y78*'PAG20 FE GE'!$E$3+Z78*'PAG20 FE GE'!$E$4</f>
        <v>2696.85107496</v>
      </c>
      <c r="T78" s="9">
        <f>X78*'PAG100 FE GE'!$D$2+Y78*'PAG100 FE GE'!$D$3+Z78*'PAG100 FE GE'!$D$4</f>
        <v>2695.2757523999999</v>
      </c>
      <c r="U78" s="9">
        <f>X78*'PAG20 FE GE'!$D$2+Y78*'PAG20 FE GE'!$D$3+Z78*'PAG20 FE GE'!$D$4</f>
        <v>2696.4486360000001</v>
      </c>
      <c r="V78" s="9">
        <f>X78*'PAG100 FE GE'!$C$2+Y78*'PAG100 FE GE'!$C$3+Z78*'PAG100 FE GE'!$C$4</f>
        <v>2696.986656</v>
      </c>
      <c r="W78" s="9">
        <f>X78*'PAG20 FE GE'!$C$2+Y78*'PAG20 FE GE'!$C$3+Z78*'PAG20 FE GE'!$C$4</f>
        <v>2697.5139156</v>
      </c>
      <c r="X78" s="9">
        <f t="shared" si="13"/>
        <v>2680.4156400000002</v>
      </c>
      <c r="Y78" s="9">
        <f t="shared" si="13"/>
        <v>2.1520800000000003E-2</v>
      </c>
      <c r="Z78" s="9">
        <f t="shared" si="13"/>
        <v>5.3802000000000003E-2</v>
      </c>
      <c r="AA78" s="9">
        <f>AG78*'PAG100 FE GE'!$E$2+AH78*'PAG100 FE GE'!$E$3+AI78*'PAG100 FE GE'!$E$4</f>
        <v>580.4401180000001</v>
      </c>
      <c r="AB78" s="9">
        <f>AG78*'PAG20 FE GE'!$E$2+AH78*'PAG20 FE GE'!$E$3+AI78*'PAG20 FE GE'!$E$4</f>
        <v>580.68103400000007</v>
      </c>
      <c r="AC78" s="9">
        <f>AG78*'PAG100 FE GE'!$D$2+AH78*'PAG100 FE GE'!$D$3+AI78*'PAG100 FE GE'!$D$4</f>
        <v>580.3496100000001</v>
      </c>
      <c r="AD78" s="9">
        <f>AG78*'PAG20 FE GE'!$D$2+AH78*'PAG20 FE GE'!$D$3+AI78*'PAG20 FE GE'!$D$4</f>
        <v>580.59587999999997</v>
      </c>
      <c r="AE78" s="9">
        <f>AG78*'PAG100 FE GE'!$C$2+AH78*'PAG100 FE GE'!$C$3+AI78*'PAG100 FE GE'!$C$4</f>
        <v>580.71126000000004</v>
      </c>
      <c r="AF78" s="9">
        <f>AG78*'PAG20 FE GE'!$C$2+AH78*'PAG20 FE GE'!$C$3+AI78*'PAG20 FE GE'!$C$4</f>
        <v>580.82137</v>
      </c>
      <c r="AG78" s="9">
        <v>577.21</v>
      </c>
      <c r="AH78" s="9">
        <f>4.52/1000</f>
        <v>4.5199999999999997E-3</v>
      </c>
      <c r="AI78" s="9">
        <f>11.37/1000</f>
        <v>1.137E-2</v>
      </c>
      <c r="AJ78" s="11">
        <f t="shared" si="14"/>
        <v>21.534346814958891</v>
      </c>
      <c r="AK78" t="s">
        <v>424</v>
      </c>
      <c r="AL78" t="s">
        <v>791</v>
      </c>
    </row>
    <row r="79" spans="1:38" ht="15.75" thickBot="1" x14ac:dyDescent="0.3">
      <c r="A79" s="4" t="s">
        <v>46</v>
      </c>
      <c r="B79" s="7" t="s">
        <v>79</v>
      </c>
      <c r="C79" s="5" t="s">
        <v>3</v>
      </c>
      <c r="D79" s="6" t="s">
        <v>5</v>
      </c>
      <c r="E79" s="6" t="str">
        <f t="shared" si="11"/>
        <v>Pesado de Mercadorias N3: &lt;20 t : Gasóleo : E5</v>
      </c>
      <c r="F79" s="6" t="s">
        <v>55</v>
      </c>
      <c r="G79" s="6" t="s">
        <v>96</v>
      </c>
      <c r="H79" s="9">
        <f>IF(G79="MJ",INDEX(Tabela1[Energia (MJ/Qtd.)],MATCH(C79,Tabela1[Fuel],0)),IF(G79="GJ",INDEX(Tabela1[Energia (GJ/Qtd.)2],MATCH(C79,Tabela1[Fuel],0)),"XXX"))</f>
        <v>3.5868000000000004E-2</v>
      </c>
      <c r="I79" s="9">
        <f>O79*'PAG100 FE GE'!$E$2+P79*'PAG100 FE GE'!$E$3+Q79*'PAG100 FE GE'!$E$4</f>
        <v>75947.94</v>
      </c>
      <c r="J79" s="9">
        <f>O79*'PAG20 FE GE'!$E$2+P79*'PAG20 FE GE'!$E$3+Q79*'PAG20 FE GE'!$E$4</f>
        <v>75979.92</v>
      </c>
      <c r="K79" s="9">
        <f>O79*'PAG100 FE GE'!$D$2+P79*'PAG100 FE GE'!$D$3+Q79*'PAG100 FE GE'!$D$4</f>
        <v>75912.800000000003</v>
      </c>
      <c r="L79" s="9">
        <f>O79*'PAG20 FE GE'!$D$2+P79*'PAG20 FE GE'!$D$3+Q79*'PAG20 FE GE'!$D$4</f>
        <v>75942.600000000006</v>
      </c>
      <c r="M79" s="9">
        <f>O79*'PAG100 FE GE'!$C$2+P79*'PAG100 FE GE'!$C$3+Q79*'PAG100 FE GE'!$C$4</f>
        <v>76056.2</v>
      </c>
      <c r="N79" s="9">
        <f>O79*'PAG20 FE GE'!$C$2+P79*'PAG20 FE GE'!$C$3+Q79*'PAG20 FE GE'!$C$4</f>
        <v>76044.800000000003</v>
      </c>
      <c r="O79" s="9">
        <f>74.73*1000</f>
        <v>74730</v>
      </c>
      <c r="P79" s="9">
        <f>0.0006*1000</f>
        <v>0.6</v>
      </c>
      <c r="Q79" s="9">
        <f>0.0044*1000</f>
        <v>4.4000000000000004</v>
      </c>
      <c r="R79" s="9">
        <f>X79*'PAG100 FE GE'!$E$2+Y79*'PAG100 FE GE'!$E$3+Z79*'PAG100 FE GE'!$E$4</f>
        <v>2724.1007119200003</v>
      </c>
      <c r="S79" s="9">
        <f>X79*'PAG20 FE GE'!$E$2+Y79*'PAG20 FE GE'!$E$3+Z79*'PAG20 FE GE'!$E$4</f>
        <v>2725.2477705599999</v>
      </c>
      <c r="T79" s="9">
        <f>X79*'PAG100 FE GE'!$D$2+Y79*'PAG100 FE GE'!$D$3+Z79*'PAG100 FE GE'!$D$4</f>
        <v>2722.8403103999999</v>
      </c>
      <c r="U79" s="9">
        <f>X79*'PAG20 FE GE'!$D$2+Y79*'PAG20 FE GE'!$D$3+Z79*'PAG20 FE GE'!$D$4</f>
        <v>2723.9091768000003</v>
      </c>
      <c r="V79" s="9">
        <f>X79*'PAG100 FE GE'!$C$2+Y79*'PAG100 FE GE'!$C$3+Z79*'PAG100 FE GE'!$C$4</f>
        <v>2727.9837815999999</v>
      </c>
      <c r="W79" s="9">
        <f>X79*'PAG20 FE GE'!$C$2+Y79*'PAG20 FE GE'!$C$3+Z79*'PAG20 FE GE'!$C$4</f>
        <v>2727.5748864000002</v>
      </c>
      <c r="X79" s="9">
        <f t="shared" si="13"/>
        <v>2680.4156400000002</v>
      </c>
      <c r="Y79" s="9">
        <f t="shared" si="13"/>
        <v>2.1520800000000003E-2</v>
      </c>
      <c r="Z79" s="9">
        <f t="shared" si="13"/>
        <v>0.15781920000000002</v>
      </c>
      <c r="AA79" s="9">
        <f>AG79*'PAG100 FE GE'!$E$2+AH79*'PAG100 FE GE'!$E$3+AI79*'PAG100 FE GE'!$E$4</f>
        <v>571.08084700000006</v>
      </c>
      <c r="AB79" s="9">
        <f>AG79*'PAG20 FE GE'!$E$2+AH79*'PAG20 FE GE'!$E$3+AI79*'PAG20 FE GE'!$E$4</f>
        <v>571.32762600000001</v>
      </c>
      <c r="AC79" s="9">
        <f>AG79*'PAG100 FE GE'!$D$2+AH79*'PAG100 FE GE'!$D$3+AI79*'PAG100 FE GE'!$D$4</f>
        <v>570.81898999999999</v>
      </c>
      <c r="AD79" s="9">
        <f>AG79*'PAG20 FE GE'!$D$2+AH79*'PAG20 FE GE'!$D$3+AI79*'PAG20 FE GE'!$D$4</f>
        <v>571.05011000000002</v>
      </c>
      <c r="AE79" s="9">
        <f>AG79*'PAG100 FE GE'!$C$2+AH79*'PAG100 FE GE'!$C$3+AI79*'PAG100 FE GE'!$C$4</f>
        <v>571.88717000000008</v>
      </c>
      <c r="AF79" s="9">
        <f>AG79*'PAG20 FE GE'!$C$2+AH79*'PAG20 FE GE'!$C$3+AI79*'PAG20 FE GE'!$C$4</f>
        <v>571.80966999999998</v>
      </c>
      <c r="AG79" s="9">
        <v>562</v>
      </c>
      <c r="AH79" s="9">
        <f>4.63/1000</f>
        <v>4.6299999999999996E-3</v>
      </c>
      <c r="AI79" s="9">
        <f>32.79/1000</f>
        <v>3.279E-2</v>
      </c>
      <c r="AJ79" s="11">
        <f t="shared" si="14"/>
        <v>20.966897506985145</v>
      </c>
      <c r="AK79" t="s">
        <v>424</v>
      </c>
      <c r="AL79" t="s">
        <v>791</v>
      </c>
    </row>
    <row r="80" spans="1:38" ht="15.75" thickBot="1" x14ac:dyDescent="0.3">
      <c r="A80" s="4" t="s">
        <v>46</v>
      </c>
      <c r="B80" s="7" t="s">
        <v>79</v>
      </c>
      <c r="C80" s="5" t="s">
        <v>3</v>
      </c>
      <c r="D80" s="6" t="s">
        <v>6</v>
      </c>
      <c r="E80" s="6" t="str">
        <f t="shared" si="11"/>
        <v>Pesado de Mercadorias N3: &lt;20 t : Gasóleo : E6</v>
      </c>
      <c r="F80" s="6" t="s">
        <v>55</v>
      </c>
      <c r="G80" s="6" t="s">
        <v>96</v>
      </c>
      <c r="H80" s="9">
        <f>IF(G80="MJ",INDEX(Tabela1[Energia (MJ/Qtd.)],MATCH(C80,Tabela1[Fuel],0)),IF(G80="GJ",INDEX(Tabela1[Energia (GJ/Qtd.)2],MATCH(C80,Tabela1[Fuel],0)),"XXX"))</f>
        <v>3.5868000000000004E-2</v>
      </c>
      <c r="I80" s="9">
        <f>O80*'PAG100 FE GE'!$E$2+P80*'PAG100 FE GE'!$E$3+Q80*'PAG100 FE GE'!$E$4</f>
        <v>75867.94</v>
      </c>
      <c r="J80" s="9">
        <f>O80*'PAG20 FE GE'!$E$2+P80*'PAG20 FE GE'!$E$3+Q80*'PAG20 FE GE'!$E$4</f>
        <v>75899.92</v>
      </c>
      <c r="K80" s="9">
        <f>O80*'PAG100 FE GE'!$D$2+P80*'PAG100 FE GE'!$D$3+Q80*'PAG100 FE GE'!$D$4</f>
        <v>75832.800000000003</v>
      </c>
      <c r="L80" s="9">
        <f>O80*'PAG20 FE GE'!$D$2+P80*'PAG20 FE GE'!$D$3+Q80*'PAG20 FE GE'!$D$4</f>
        <v>75862.600000000006</v>
      </c>
      <c r="M80" s="9">
        <f>O80*'PAG100 FE GE'!$C$2+P80*'PAG100 FE GE'!$C$3+Q80*'PAG100 FE GE'!$C$4</f>
        <v>75976.2</v>
      </c>
      <c r="N80" s="9">
        <f>O80*'PAG20 FE GE'!$C$2+P80*'PAG20 FE GE'!$C$3+Q80*'PAG20 FE GE'!$C$4</f>
        <v>75964.800000000003</v>
      </c>
      <c r="O80" s="9">
        <f>74.65*1000</f>
        <v>74650</v>
      </c>
      <c r="P80" s="9">
        <f>0.0006*1000</f>
        <v>0.6</v>
      </c>
      <c r="Q80" s="9">
        <f>0.0044*1000</f>
        <v>4.4000000000000004</v>
      </c>
      <c r="R80" s="9">
        <f>X80*'PAG100 FE GE'!$E$2+Y80*'PAG100 FE GE'!$E$3+Z80*'PAG100 FE GE'!$E$4</f>
        <v>2721.2312719200004</v>
      </c>
      <c r="S80" s="9">
        <f>X80*'PAG20 FE GE'!$E$2+Y80*'PAG20 FE GE'!$E$3+Z80*'PAG20 FE GE'!$E$4</f>
        <v>2722.37833056</v>
      </c>
      <c r="T80" s="9">
        <f>X80*'PAG100 FE GE'!$D$2+Y80*'PAG100 FE GE'!$D$3+Z80*'PAG100 FE GE'!$D$4</f>
        <v>2719.9708704</v>
      </c>
      <c r="U80" s="9">
        <f>X80*'PAG20 FE GE'!$D$2+Y80*'PAG20 FE GE'!$D$3+Z80*'PAG20 FE GE'!$D$4</f>
        <v>2721.0397368000004</v>
      </c>
      <c r="V80" s="9">
        <f>X80*'PAG100 FE GE'!$C$2+Y80*'PAG100 FE GE'!$C$3+Z80*'PAG100 FE GE'!$C$4</f>
        <v>2725.1143416</v>
      </c>
      <c r="W80" s="9">
        <f>X80*'PAG20 FE GE'!$C$2+Y80*'PAG20 FE GE'!$C$3+Z80*'PAG20 FE GE'!$C$4</f>
        <v>2724.7054464000003</v>
      </c>
      <c r="X80" s="9">
        <f t="shared" si="13"/>
        <v>2677.5462000000002</v>
      </c>
      <c r="Y80" s="9">
        <f t="shared" si="13"/>
        <v>2.1520800000000003E-2</v>
      </c>
      <c r="Z80" s="9">
        <f t="shared" si="13"/>
        <v>0.15781920000000002</v>
      </c>
      <c r="AA80" s="9">
        <f>AG80*'PAG100 FE GE'!$E$2+AH80*'PAG100 FE GE'!$E$3+AI80*'PAG100 FE GE'!$E$4</f>
        <v>576.09077100000002</v>
      </c>
      <c r="AB80" s="9">
        <f>AG80*'PAG20 FE GE'!$E$2+AH80*'PAG20 FE GE'!$E$3+AI80*'PAG20 FE GE'!$E$4</f>
        <v>576.34074799999996</v>
      </c>
      <c r="AC80" s="9">
        <f>AG80*'PAG100 FE GE'!$D$2+AH80*'PAG100 FE GE'!$D$3+AI80*'PAG100 FE GE'!$D$4</f>
        <v>575.82691999999997</v>
      </c>
      <c r="AD80" s="9">
        <f>AG80*'PAG20 FE GE'!$D$2+AH80*'PAG20 FE GE'!$D$3+AI80*'PAG20 FE GE'!$D$4</f>
        <v>576.06121000000007</v>
      </c>
      <c r="AE80" s="9">
        <f>AG80*'PAG100 FE GE'!$C$2+AH80*'PAG100 FE GE'!$C$3+AI80*'PAG100 FE GE'!$C$4</f>
        <v>576.90317000000005</v>
      </c>
      <c r="AF80" s="9">
        <f>AG80*'PAG20 FE GE'!$C$2+AH80*'PAG20 FE GE'!$C$3+AI80*'PAG20 FE GE'!$C$4</f>
        <v>576.82623999999998</v>
      </c>
      <c r="AG80" s="9">
        <v>566.94000000000005</v>
      </c>
      <c r="AH80" s="9">
        <f>4.69/1000</f>
        <v>4.6900000000000006E-3</v>
      </c>
      <c r="AI80" s="9">
        <f>33.04/1000</f>
        <v>3.304E-2</v>
      </c>
      <c r="AJ80" s="11">
        <f t="shared" si="14"/>
        <v>21.173864338923451</v>
      </c>
      <c r="AK80" t="s">
        <v>424</v>
      </c>
      <c r="AL80" t="s">
        <v>791</v>
      </c>
    </row>
    <row r="81" spans="1:38" ht="15.75" thickBot="1" x14ac:dyDescent="0.3">
      <c r="A81" s="4" t="s">
        <v>46</v>
      </c>
      <c r="B81" s="7" t="s">
        <v>79</v>
      </c>
      <c r="C81" s="5" t="s">
        <v>3</v>
      </c>
      <c r="D81" s="6" t="s">
        <v>81</v>
      </c>
      <c r="E81" s="6" t="str">
        <f t="shared" si="11"/>
        <v>Pesado de Mercadorias N3: &lt;20 t : Gasóleo : E6 D/E E7</v>
      </c>
      <c r="F81" s="6" t="s">
        <v>55</v>
      </c>
      <c r="G81" s="6" t="s">
        <v>96</v>
      </c>
      <c r="H81" s="9">
        <f>IF(G81="MJ",INDEX(Tabela1[Energia (MJ/Qtd.)],MATCH(C81,Tabela1[Fuel],0)),IF(G81="GJ",INDEX(Tabela1[Energia (GJ/Qtd.)2],MATCH(C81,Tabela1[Fuel],0)),"XXX"))</f>
        <v>3.5868000000000004E-2</v>
      </c>
      <c r="I81" s="9">
        <f>O81*'PAG100 FE GE'!$E$2+P81*'PAG100 FE GE'!$E$3+Q81*'PAG100 FE GE'!$E$4</f>
        <v>75867.94</v>
      </c>
      <c r="J81" s="9">
        <f>O81*'PAG20 FE GE'!$E$2+P81*'PAG20 FE GE'!$E$3+Q81*'PAG20 FE GE'!$E$4</f>
        <v>75899.92</v>
      </c>
      <c r="K81" s="9">
        <f>O81*'PAG100 FE GE'!$D$2+P81*'PAG100 FE GE'!$D$3+Q81*'PAG100 FE GE'!$D$4</f>
        <v>75832.800000000003</v>
      </c>
      <c r="L81" s="9">
        <f>O81*'PAG20 FE GE'!$D$2+P81*'PAG20 FE GE'!$D$3+Q81*'PAG20 FE GE'!$D$4</f>
        <v>75862.600000000006</v>
      </c>
      <c r="M81" s="9">
        <f>O81*'PAG100 FE GE'!$C$2+P81*'PAG100 FE GE'!$C$3+Q81*'PAG100 FE GE'!$C$4</f>
        <v>75976.2</v>
      </c>
      <c r="N81" s="9">
        <f>O81*'PAG20 FE GE'!$C$2+P81*'PAG20 FE GE'!$C$3+Q81*'PAG20 FE GE'!$C$4</f>
        <v>75964.800000000003</v>
      </c>
      <c r="O81" s="9">
        <f>74.65*1000</f>
        <v>74650</v>
      </c>
      <c r="P81" s="9">
        <f>0.0006*1000</f>
        <v>0.6</v>
      </c>
      <c r="Q81" s="9">
        <f>0.0044*1000</f>
        <v>4.4000000000000004</v>
      </c>
      <c r="R81" s="9">
        <f>X81*'PAG100 FE GE'!$E$2+Y81*'PAG100 FE GE'!$E$3+Z81*'PAG100 FE GE'!$E$4</f>
        <v>2721.2312719200004</v>
      </c>
      <c r="S81" s="9">
        <f>X81*'PAG20 FE GE'!$E$2+Y81*'PAG20 FE GE'!$E$3+Z81*'PAG20 FE GE'!$E$4</f>
        <v>2722.37833056</v>
      </c>
      <c r="T81" s="9">
        <f>X81*'PAG100 FE GE'!$D$2+Y81*'PAG100 FE GE'!$D$3+Z81*'PAG100 FE GE'!$D$4</f>
        <v>2719.9708704</v>
      </c>
      <c r="U81" s="9">
        <f>X81*'PAG20 FE GE'!$D$2+Y81*'PAG20 FE GE'!$D$3+Z81*'PAG20 FE GE'!$D$4</f>
        <v>2721.0397368000004</v>
      </c>
      <c r="V81" s="9">
        <f>X81*'PAG100 FE GE'!$C$2+Y81*'PAG100 FE GE'!$C$3+Z81*'PAG100 FE GE'!$C$4</f>
        <v>2725.1143416</v>
      </c>
      <c r="W81" s="9">
        <f>X81*'PAG20 FE GE'!$C$2+Y81*'PAG20 FE GE'!$C$3+Z81*'PAG20 FE GE'!$C$4</f>
        <v>2724.7054464000003</v>
      </c>
      <c r="X81" s="9">
        <f t="shared" si="13"/>
        <v>2677.5462000000002</v>
      </c>
      <c r="Y81" s="9">
        <f t="shared" si="13"/>
        <v>2.1520800000000003E-2</v>
      </c>
      <c r="Z81" s="9">
        <f t="shared" si="13"/>
        <v>0.15781920000000002</v>
      </c>
      <c r="AA81" s="9">
        <f>AG81*'PAG100 FE GE'!$E$2+AH81*'PAG100 FE GE'!$E$3+AI81*'PAG100 FE GE'!$E$4</f>
        <v>580.44216599999993</v>
      </c>
      <c r="AB81" s="9">
        <f>AG81*'PAG20 FE GE'!$E$2+AH81*'PAG20 FE GE'!$E$3+AI81*'PAG20 FE GE'!$E$4</f>
        <v>580.69480799999997</v>
      </c>
      <c r="AC81" s="9">
        <f>AG81*'PAG100 FE GE'!$D$2+AH81*'PAG100 FE GE'!$D$3+AI81*'PAG100 FE GE'!$D$4</f>
        <v>580.17831999999987</v>
      </c>
      <c r="AD81" s="9">
        <f>AG81*'PAG20 FE GE'!$D$2+AH81*'PAG20 FE GE'!$D$3+AI81*'PAG20 FE GE'!$D$4</f>
        <v>580.41546000000005</v>
      </c>
      <c r="AE81" s="9">
        <f>AG81*'PAG100 FE GE'!$C$2+AH81*'PAG100 FE GE'!$C$3+AI81*'PAG100 FE GE'!$C$4</f>
        <v>581.25441999999998</v>
      </c>
      <c r="AF81" s="9">
        <f>AG81*'PAG20 FE GE'!$C$2+AH81*'PAG20 FE GE'!$C$3+AI81*'PAG20 FE GE'!$C$4</f>
        <v>581.1798399999999</v>
      </c>
      <c r="AG81" s="9">
        <v>571.29</v>
      </c>
      <c r="AH81" s="9">
        <f>4.74/1000</f>
        <v>4.7400000000000003E-3</v>
      </c>
      <c r="AI81" s="9">
        <f>33.04/1000</f>
        <v>3.304E-2</v>
      </c>
      <c r="AJ81" s="11">
        <f t="shared" si="14"/>
        <v>21.336326521648811</v>
      </c>
      <c r="AK81" t="s">
        <v>424</v>
      </c>
      <c r="AL81" t="s">
        <v>791</v>
      </c>
    </row>
    <row r="82" spans="1:38" ht="15.75" thickBot="1" x14ac:dyDescent="0.3">
      <c r="A82" s="4" t="s">
        <v>46</v>
      </c>
      <c r="B82" s="7" t="s">
        <v>78</v>
      </c>
      <c r="C82" s="5" t="s">
        <v>3</v>
      </c>
      <c r="D82" s="6" t="s">
        <v>8</v>
      </c>
      <c r="E82" s="6" t="str">
        <f t="shared" si="11"/>
        <v>Pesado de Mercadorias N3: 20-28 t : Gasóleo : E0</v>
      </c>
      <c r="F82" s="6" t="s">
        <v>55</v>
      </c>
      <c r="G82" s="6" t="s">
        <v>96</v>
      </c>
      <c r="H82" s="9">
        <f>IF(G82="MJ",INDEX(Tabela1[Energia (MJ/Qtd.)],MATCH(C82,Tabela1[Fuel],0)),IF(G82="GJ",INDEX(Tabela1[Energia (GJ/Qtd.)2],MATCH(C82,Tabela1[Fuel],0)),"XXX"))</f>
        <v>3.5868000000000004E-2</v>
      </c>
      <c r="I82" s="9">
        <f>O82*'PAG100 FE GE'!$E$2+P82*'PAG100 FE GE'!$E$3+Q82*'PAG100 FE GE'!$E$4</f>
        <v>75265.14</v>
      </c>
      <c r="J82" s="9">
        <f>O82*'PAG20 FE GE'!$E$2+P82*'PAG20 FE GE'!$E$3+Q82*'PAG20 FE GE'!$E$4</f>
        <v>75723.520000000004</v>
      </c>
      <c r="K82" s="9">
        <f>O82*'PAG100 FE GE'!$D$2+P82*'PAG100 FE GE'!$D$3+Q82*'PAG100 FE GE'!$D$4</f>
        <v>75246.8</v>
      </c>
      <c r="L82" s="9">
        <f>O82*'PAG20 FE GE'!$D$2+P82*'PAG20 FE GE'!$D$3+Q82*'PAG20 FE GE'!$D$4</f>
        <v>75734.600000000006</v>
      </c>
      <c r="M82" s="9">
        <f>O82*'PAG100 FE GE'!$C$2+P82*'PAG100 FE GE'!$C$3+Q82*'PAG100 FE GE'!$C$4</f>
        <v>75300.2</v>
      </c>
      <c r="N82" s="9">
        <f>O82*'PAG20 FE GE'!$C$2+P82*'PAG20 FE GE'!$C$3+Q82*'PAG20 FE GE'!$C$4</f>
        <v>75682.8</v>
      </c>
      <c r="O82" s="9">
        <f>74.37*1000</f>
        <v>74370</v>
      </c>
      <c r="P82" s="9">
        <f>0.0086*1000</f>
        <v>8.6</v>
      </c>
      <c r="Q82" s="9">
        <f>0.0024*1000</f>
        <v>2.4</v>
      </c>
      <c r="R82" s="9">
        <f>X82*'PAG100 FE GE'!$E$2+Y82*'PAG100 FE GE'!$E$3+Z82*'PAG100 FE GE'!$E$4</f>
        <v>2699.6100415200003</v>
      </c>
      <c r="S82" s="9">
        <f>X82*'PAG20 FE GE'!$E$2+Y82*'PAG20 FE GE'!$E$3+Z82*'PAG20 FE GE'!$E$4</f>
        <v>2716.0512153600002</v>
      </c>
      <c r="T82" s="9">
        <f>X82*'PAG100 FE GE'!$D$2+Y82*'PAG100 FE GE'!$D$3+Z82*'PAG100 FE GE'!$D$4</f>
        <v>2698.9522224000002</v>
      </c>
      <c r="U82" s="9">
        <f>X82*'PAG20 FE GE'!$D$2+Y82*'PAG20 FE GE'!$D$3+Z82*'PAG20 FE GE'!$D$4</f>
        <v>2716.4486328000003</v>
      </c>
      <c r="V82" s="9">
        <f>X82*'PAG100 FE GE'!$C$2+Y82*'PAG100 FE GE'!$C$3+Z82*'PAG100 FE GE'!$C$4</f>
        <v>2700.8675736000005</v>
      </c>
      <c r="W82" s="9">
        <f>X82*'PAG20 FE GE'!$C$2+Y82*'PAG20 FE GE'!$C$3+Z82*'PAG20 FE GE'!$C$4</f>
        <v>2714.5906704000004</v>
      </c>
      <c r="X82" s="9">
        <f t="shared" si="13"/>
        <v>2667.5031600000002</v>
      </c>
      <c r="Y82" s="9">
        <f t="shared" si="13"/>
        <v>0.30846480000000004</v>
      </c>
      <c r="Z82" s="9">
        <f t="shared" si="13"/>
        <v>8.6083200000000012E-2</v>
      </c>
      <c r="AA82" s="9">
        <f>AG82*'PAG100 FE GE'!$E$2+AH82*'PAG100 FE GE'!$E$3+AI82*'PAG100 FE GE'!$E$4</f>
        <v>942.83436000000006</v>
      </c>
      <c r="AB82" s="9">
        <f>AG82*'PAG20 FE GE'!$E$2+AH82*'PAG20 FE GE'!$E$3+AI82*'PAG20 FE GE'!$E$4</f>
        <v>948.61208000000011</v>
      </c>
      <c r="AC82" s="9">
        <f>AG82*'PAG100 FE GE'!$D$2+AH82*'PAG100 FE GE'!$D$3+AI82*'PAG100 FE GE'!$D$4</f>
        <v>942.60520000000008</v>
      </c>
      <c r="AD82" s="9">
        <f>AG82*'PAG20 FE GE'!$D$2+AH82*'PAG20 FE GE'!$D$3+AI82*'PAG20 FE GE'!$D$4</f>
        <v>948.75400000000002</v>
      </c>
      <c r="AE82" s="9">
        <f>AG82*'PAG100 FE GE'!$C$2+AH82*'PAG100 FE GE'!$C$3+AI82*'PAG100 FE GE'!$C$4</f>
        <v>943.2700000000001</v>
      </c>
      <c r="AF82" s="9">
        <f>AG82*'PAG20 FE GE'!$C$2+AH82*'PAG20 FE GE'!$C$3+AI82*'PAG20 FE GE'!$C$4</f>
        <v>948.09479999999996</v>
      </c>
      <c r="AG82" s="9">
        <v>931.62</v>
      </c>
      <c r="AH82" s="9">
        <f>108.4/1000</f>
        <v>0.10840000000000001</v>
      </c>
      <c r="AI82" s="9">
        <v>0.03</v>
      </c>
      <c r="AJ82" s="11">
        <f t="shared" si="14"/>
        <v>34.924794615800941</v>
      </c>
      <c r="AK82" t="s">
        <v>424</v>
      </c>
      <c r="AL82" t="s">
        <v>791</v>
      </c>
    </row>
    <row r="83" spans="1:38" ht="15.75" thickBot="1" x14ac:dyDescent="0.3">
      <c r="A83" s="4" t="s">
        <v>46</v>
      </c>
      <c r="B83" s="7" t="s">
        <v>78</v>
      </c>
      <c r="C83" s="5" t="s">
        <v>3</v>
      </c>
      <c r="D83" s="6" t="s">
        <v>7</v>
      </c>
      <c r="E83" s="6" t="str">
        <f t="shared" si="11"/>
        <v>Pesado de Mercadorias N3: 20-28 t : Gasóleo : E1</v>
      </c>
      <c r="F83" s="6" t="s">
        <v>55</v>
      </c>
      <c r="G83" s="6" t="s">
        <v>96</v>
      </c>
      <c r="H83" s="9">
        <f>IF(G83="MJ",INDEX(Tabela1[Energia (MJ/Qtd.)],MATCH(C83,Tabela1[Fuel],0)),IF(G83="GJ",INDEX(Tabela1[Energia (GJ/Qtd.)2],MATCH(C83,Tabela1[Fuel],0)),"XXX"))</f>
        <v>3.5868000000000004E-2</v>
      </c>
      <c r="I83" s="9">
        <f>O83*'PAG100 FE GE'!$E$2+P83*'PAG100 FE GE'!$E$3+Q83*'PAG100 FE GE'!$E$4</f>
        <v>74874.61</v>
      </c>
      <c r="J83" s="9">
        <f>O83*'PAG20 FE GE'!$E$2+P83*'PAG20 FE GE'!$E$3+Q83*'PAG20 FE GE'!$E$4</f>
        <v>75402.28</v>
      </c>
      <c r="K83" s="9">
        <f>O83*'PAG100 FE GE'!$D$2+P83*'PAG100 FE GE'!$D$3+Q83*'PAG100 FE GE'!$D$4</f>
        <v>74869.2</v>
      </c>
      <c r="L83" s="9">
        <f>O83*'PAG20 FE GE'!$D$2+P83*'PAG20 FE GE'!$D$3+Q83*'PAG20 FE GE'!$D$4</f>
        <v>75432.7</v>
      </c>
      <c r="M83" s="9">
        <f>O83*'PAG100 FE GE'!$C$2+P83*'PAG100 FE GE'!$C$3+Q83*'PAG100 FE GE'!$C$4</f>
        <v>74865.899999999994</v>
      </c>
      <c r="N83" s="9">
        <f>O83*'PAG20 FE GE'!$C$2+P83*'PAG20 FE GE'!$C$3+Q83*'PAG20 FE GE'!$C$4</f>
        <v>75324</v>
      </c>
      <c r="O83" s="9">
        <f>74.38*1000</f>
        <v>74380</v>
      </c>
      <c r="P83" s="9">
        <f>0.0099*1000</f>
        <v>9.9</v>
      </c>
      <c r="Q83" s="9">
        <f>0.0008*1000</f>
        <v>0.8</v>
      </c>
      <c r="R83" s="9">
        <f>X83*'PAG100 FE GE'!$E$2+Y83*'PAG100 FE GE'!$E$3+Z83*'PAG100 FE GE'!$E$4</f>
        <v>2685.6025114800004</v>
      </c>
      <c r="S83" s="9">
        <f>X83*'PAG20 FE GE'!$E$2+Y83*'PAG20 FE GE'!$E$3+Z83*'PAG20 FE GE'!$E$4</f>
        <v>2704.5289790400002</v>
      </c>
      <c r="T83" s="9">
        <f>X83*'PAG100 FE GE'!$D$2+Y83*'PAG100 FE GE'!$D$3+Z83*'PAG100 FE GE'!$D$4</f>
        <v>2685.4084656000005</v>
      </c>
      <c r="U83" s="9">
        <f>X83*'PAG20 FE GE'!$D$2+Y83*'PAG20 FE GE'!$D$3+Z83*'PAG20 FE GE'!$D$4</f>
        <v>2705.6200836000003</v>
      </c>
      <c r="V83" s="9">
        <f>X83*'PAG100 FE GE'!$C$2+Y83*'PAG100 FE GE'!$C$3+Z83*'PAG100 FE GE'!$C$4</f>
        <v>2685.2901012000002</v>
      </c>
      <c r="W83" s="9">
        <f>X83*'PAG20 FE GE'!$C$2+Y83*'PAG20 FE GE'!$C$3+Z83*'PAG20 FE GE'!$C$4</f>
        <v>2701.7212320000003</v>
      </c>
      <c r="X83" s="9">
        <f t="shared" si="13"/>
        <v>2667.8618400000005</v>
      </c>
      <c r="Y83" s="9">
        <f t="shared" si="13"/>
        <v>0.35509320000000005</v>
      </c>
      <c r="Z83" s="9">
        <f t="shared" si="13"/>
        <v>2.8694400000000005E-2</v>
      </c>
      <c r="AA83" s="9">
        <f>AG83*'PAG100 FE GE'!$E$2+AH83*'PAG100 FE GE'!$E$3+AI83*'PAG100 FE GE'!$E$4</f>
        <v>815.80310999999995</v>
      </c>
      <c r="AB83" s="9">
        <f>AG83*'PAG20 FE GE'!$E$2+AH83*'PAG20 FE GE'!$E$3+AI83*'PAG20 FE GE'!$E$4</f>
        <v>821.58082999999999</v>
      </c>
      <c r="AC83" s="9">
        <f>AG83*'PAG100 FE GE'!$D$2+AH83*'PAG100 FE GE'!$D$3+AI83*'PAG100 FE GE'!$D$4</f>
        <v>815.74395000000004</v>
      </c>
      <c r="AD83" s="9">
        <f>AG83*'PAG20 FE GE'!$D$2+AH83*'PAG20 FE GE'!$D$3+AI83*'PAG20 FE GE'!$D$4</f>
        <v>821.91399999999999</v>
      </c>
      <c r="AE83" s="9">
        <f>AG83*'PAG100 FE GE'!$C$2+AH83*'PAG100 FE GE'!$C$3+AI83*'PAG100 FE GE'!$C$4</f>
        <v>815.70749999999998</v>
      </c>
      <c r="AF83" s="9">
        <f>AG83*'PAG20 FE GE'!$C$2+AH83*'PAG20 FE GE'!$C$3+AI83*'PAG20 FE GE'!$C$4</f>
        <v>820.72354999999993</v>
      </c>
      <c r="AG83" s="9">
        <v>810.39</v>
      </c>
      <c r="AH83" s="9">
        <f>108.4/1000</f>
        <v>0.10840000000000001</v>
      </c>
      <c r="AI83" s="9">
        <f>8.75/1000</f>
        <v>8.7500000000000008E-3</v>
      </c>
      <c r="AJ83" s="11">
        <f t="shared" si="14"/>
        <v>30.376010775730421</v>
      </c>
      <c r="AK83" t="s">
        <v>424</v>
      </c>
      <c r="AL83" t="s">
        <v>791</v>
      </c>
    </row>
    <row r="84" spans="1:38" ht="15.75" thickBot="1" x14ac:dyDescent="0.3">
      <c r="A84" s="4" t="s">
        <v>46</v>
      </c>
      <c r="B84" s="7" t="s">
        <v>78</v>
      </c>
      <c r="C84" s="5" t="s">
        <v>3</v>
      </c>
      <c r="D84" s="6" t="s">
        <v>9</v>
      </c>
      <c r="E84" s="6" t="str">
        <f t="shared" si="11"/>
        <v>Pesado de Mercadorias N3: 20-28 t : Gasóleo : E2</v>
      </c>
      <c r="F84" s="6" t="s">
        <v>55</v>
      </c>
      <c r="G84" s="6" t="s">
        <v>96</v>
      </c>
      <c r="H84" s="9">
        <f>IF(G84="MJ",INDEX(Tabela1[Energia (MJ/Qtd.)],MATCH(C84,Tabela1[Fuel],0)),IF(G84="GJ",INDEX(Tabela1[Energia (GJ/Qtd.)2],MATCH(C84,Tabela1[Fuel],0)),"XXX"))</f>
        <v>3.5868000000000004E-2</v>
      </c>
      <c r="I84" s="9">
        <f>O84*'PAG100 FE GE'!$E$2+P84*'PAG100 FE GE'!$E$3+Q84*'PAG100 FE GE'!$E$4</f>
        <v>74816.01999999999</v>
      </c>
      <c r="J84" s="9">
        <f>O84*'PAG20 FE GE'!$E$2+P84*'PAG20 FE GE'!$E$3+Q84*'PAG20 FE GE'!$E$4</f>
        <v>75231.759999999995</v>
      </c>
      <c r="K84" s="9">
        <f>O84*'PAG100 FE GE'!$D$2+P84*'PAG100 FE GE'!$D$3+Q84*'PAG100 FE GE'!$D$4</f>
        <v>74810.399999999994</v>
      </c>
      <c r="L84" s="9">
        <f>O84*'PAG20 FE GE'!$D$2+P84*'PAG20 FE GE'!$D$3+Q84*'PAG20 FE GE'!$D$4</f>
        <v>75254.2</v>
      </c>
      <c r="M84" s="9">
        <f>O84*'PAG100 FE GE'!$C$2+P84*'PAG100 FE GE'!$C$3+Q84*'PAG100 FE GE'!$C$4</f>
        <v>74813.399999999994</v>
      </c>
      <c r="N84" s="9">
        <f>O84*'PAG20 FE GE'!$C$2+P84*'PAG20 FE GE'!$C$3+Q84*'PAG20 FE GE'!$C$4</f>
        <v>75172.800000000003</v>
      </c>
      <c r="O84" s="9">
        <f>74.38*1000</f>
        <v>74380</v>
      </c>
      <c r="P84" s="9">
        <f>0.0078*1000</f>
        <v>7.8</v>
      </c>
      <c r="Q84" s="9">
        <f>0.0008*1000</f>
        <v>0.8</v>
      </c>
      <c r="R84" s="9">
        <f>X84*'PAG100 FE GE'!$E$2+Y84*'PAG100 FE GE'!$E$3+Z84*'PAG100 FE GE'!$E$4</f>
        <v>2683.5010053600004</v>
      </c>
      <c r="S84" s="9">
        <f>X84*'PAG20 FE GE'!$E$2+Y84*'PAG20 FE GE'!$E$3+Z84*'PAG20 FE GE'!$E$4</f>
        <v>2698.4127676800003</v>
      </c>
      <c r="T84" s="9">
        <f>X84*'PAG100 FE GE'!$D$2+Y84*'PAG100 FE GE'!$D$3+Z84*'PAG100 FE GE'!$D$4</f>
        <v>2683.2994272000005</v>
      </c>
      <c r="U84" s="9">
        <f>X84*'PAG20 FE GE'!$D$2+Y84*'PAG20 FE GE'!$D$3+Z84*'PAG20 FE GE'!$D$4</f>
        <v>2699.2176456000002</v>
      </c>
      <c r="V84" s="9">
        <f>X84*'PAG100 FE GE'!$C$2+Y84*'PAG100 FE GE'!$C$3+Z84*'PAG100 FE GE'!$C$4</f>
        <v>2683.4070312000003</v>
      </c>
      <c r="W84" s="9">
        <f>X84*'PAG20 FE GE'!$C$2+Y84*'PAG20 FE GE'!$C$3+Z84*'PAG20 FE GE'!$C$4</f>
        <v>2696.2979904000003</v>
      </c>
      <c r="X84" s="9">
        <f t="shared" si="13"/>
        <v>2667.8618400000005</v>
      </c>
      <c r="Y84" s="9">
        <f t="shared" si="13"/>
        <v>0.27977040000000003</v>
      </c>
      <c r="Z84" s="9">
        <f t="shared" si="13"/>
        <v>2.8694400000000005E-2</v>
      </c>
      <c r="AA84" s="9">
        <f>AG84*'PAG100 FE GE'!$E$2+AH84*'PAG100 FE GE'!$E$3+AI84*'PAG100 FE GE'!$E$4</f>
        <v>791.68102999999996</v>
      </c>
      <c r="AB84" s="9">
        <f>AG84*'PAG20 FE GE'!$E$2+AH84*'PAG20 FE GE'!$E$3+AI84*'PAG20 FE GE'!$E$4</f>
        <v>796.05696</v>
      </c>
      <c r="AC84" s="9">
        <f>AG84*'PAG100 FE GE'!$D$2+AH84*'PAG100 FE GE'!$D$3+AI84*'PAG100 FE GE'!$D$4</f>
        <v>791.62300000000005</v>
      </c>
      <c r="AD84" s="9">
        <f>AG84*'PAG20 FE GE'!$D$2+AH84*'PAG20 FE GE'!$D$3+AI84*'PAG20 FE GE'!$D$4</f>
        <v>796.29442000000006</v>
      </c>
      <c r="AE84" s="9">
        <f>AG84*'PAG100 FE GE'!$C$2+AH84*'PAG100 FE GE'!$C$3+AI84*'PAG100 FE GE'!$C$4</f>
        <v>791.64994000000002</v>
      </c>
      <c r="AF84" s="9">
        <f>AG84*'PAG20 FE GE'!$C$2+AH84*'PAG20 FE GE'!$C$3+AI84*'PAG20 FE GE'!$C$4</f>
        <v>795.43412000000001</v>
      </c>
      <c r="AG84" s="9">
        <v>787.13</v>
      </c>
      <c r="AH84" s="9">
        <f>82.1/1000</f>
        <v>8.2099999999999992E-2</v>
      </c>
      <c r="AI84" s="9">
        <f>8.28/1000</f>
        <v>8.2799999999999992E-3</v>
      </c>
      <c r="AJ84" s="11">
        <f t="shared" si="14"/>
        <v>29.504151534323825</v>
      </c>
      <c r="AK84" t="s">
        <v>424</v>
      </c>
      <c r="AL84" t="s">
        <v>791</v>
      </c>
    </row>
    <row r="85" spans="1:38" ht="15.75" thickBot="1" x14ac:dyDescent="0.3">
      <c r="A85" s="4" t="s">
        <v>46</v>
      </c>
      <c r="B85" s="7" t="s">
        <v>78</v>
      </c>
      <c r="C85" s="5" t="s">
        <v>3</v>
      </c>
      <c r="D85" s="6" t="s">
        <v>10</v>
      </c>
      <c r="E85" s="6" t="str">
        <f t="shared" si="11"/>
        <v>Pesado de Mercadorias N3: 20-28 t : Gasóleo : E3</v>
      </c>
      <c r="F85" s="6" t="s">
        <v>55</v>
      </c>
      <c r="G85" s="6" t="s">
        <v>96</v>
      </c>
      <c r="H85" s="9">
        <f>IF(G85="MJ",INDEX(Tabela1[Energia (MJ/Qtd.)],MATCH(C85,Tabela1[Fuel],0)),IF(G85="GJ",INDEX(Tabela1[Energia (GJ/Qtd.)2],MATCH(C85,Tabela1[Fuel],0)),"XXX"))</f>
        <v>3.5868000000000004E-2</v>
      </c>
      <c r="I85" s="9">
        <f>O85*'PAG100 FE GE'!$E$2+P85*'PAG100 FE GE'!$E$3+Q85*'PAG100 FE GE'!$E$4</f>
        <v>74684.5</v>
      </c>
      <c r="J85" s="9">
        <f>O85*'PAG20 FE GE'!$E$2+P85*'PAG20 FE GE'!$E$3+Q85*'PAG20 FE GE'!$E$4</f>
        <v>75057.599999999991</v>
      </c>
      <c r="K85" s="9">
        <f>O85*'PAG100 FE GE'!$D$2+P85*'PAG100 FE GE'!$D$3+Q85*'PAG100 FE GE'!$D$4</f>
        <v>74682</v>
      </c>
      <c r="L85" s="9">
        <f>O85*'PAG20 FE GE'!$D$2+P85*'PAG20 FE GE'!$D$3+Q85*'PAG20 FE GE'!$D$4</f>
        <v>75080.600000000006</v>
      </c>
      <c r="M85" s="9">
        <f>O85*'PAG100 FE GE'!$C$2+P85*'PAG100 FE GE'!$C$3+Q85*'PAG100 FE GE'!$C$4</f>
        <v>74674.2</v>
      </c>
      <c r="N85" s="9">
        <f>O85*'PAG20 FE GE'!$C$2+P85*'PAG20 FE GE'!$C$3+Q85*'PAG20 FE GE'!$C$4</f>
        <v>74999.600000000006</v>
      </c>
      <c r="O85" s="9">
        <f>74.38*1000</f>
        <v>74380</v>
      </c>
      <c r="P85" s="9">
        <f>0.007*1000</f>
        <v>7</v>
      </c>
      <c r="Q85" s="9">
        <f>0.0004*1000</f>
        <v>0.4</v>
      </c>
      <c r="R85" s="9">
        <f>X85*'PAG100 FE GE'!$E$2+Y85*'PAG100 FE GE'!$E$3+Z85*'PAG100 FE GE'!$E$4</f>
        <v>2678.7836460000003</v>
      </c>
      <c r="S85" s="9">
        <f>X85*'PAG20 FE GE'!$E$2+Y85*'PAG20 FE GE'!$E$3+Z85*'PAG20 FE GE'!$E$4</f>
        <v>2692.1659968000004</v>
      </c>
      <c r="T85" s="9">
        <f>X85*'PAG100 FE GE'!$D$2+Y85*'PAG100 FE GE'!$D$3+Z85*'PAG100 FE GE'!$D$4</f>
        <v>2678.6939760000005</v>
      </c>
      <c r="U85" s="9">
        <f>X85*'PAG20 FE GE'!$D$2+Y85*'PAG20 FE GE'!$D$3+Z85*'PAG20 FE GE'!$D$4</f>
        <v>2692.9909608000007</v>
      </c>
      <c r="V85" s="9">
        <f>X85*'PAG100 FE GE'!$C$2+Y85*'PAG100 FE GE'!$C$3+Z85*'PAG100 FE GE'!$C$4</f>
        <v>2678.4142056000005</v>
      </c>
      <c r="W85" s="9">
        <f>X85*'PAG20 FE GE'!$C$2+Y85*'PAG20 FE GE'!$C$3+Z85*'PAG20 FE GE'!$C$4</f>
        <v>2690.0856528000004</v>
      </c>
      <c r="X85" s="9">
        <f t="shared" si="13"/>
        <v>2667.8618400000005</v>
      </c>
      <c r="Y85" s="9">
        <f t="shared" si="13"/>
        <v>0.25107600000000002</v>
      </c>
      <c r="Z85" s="9">
        <f t="shared" si="13"/>
        <v>1.4347200000000003E-2</v>
      </c>
      <c r="AA85" s="9">
        <f>AG85*'PAG100 FE GE'!$E$2+AH85*'PAG100 FE GE'!$E$3+AI85*'PAG100 FE GE'!$E$4</f>
        <v>820.99866099999997</v>
      </c>
      <c r="AB85" s="9">
        <f>AG85*'PAG20 FE GE'!$E$2+AH85*'PAG20 FE GE'!$E$3+AI85*'PAG20 FE GE'!$E$4</f>
        <v>825.12887799999999</v>
      </c>
      <c r="AC85" s="9">
        <f>AG85*'PAG100 FE GE'!$D$2+AH85*'PAG100 FE GE'!$D$3+AI85*'PAG100 FE GE'!$D$4</f>
        <v>820.97017000000005</v>
      </c>
      <c r="AD85" s="9">
        <f>AG85*'PAG20 FE GE'!$D$2+AH85*'PAG20 FE GE'!$D$3+AI85*'PAG20 FE GE'!$D$4</f>
        <v>825.38256999999999</v>
      </c>
      <c r="AE85" s="9">
        <f>AG85*'PAG100 FE GE'!$C$2+AH85*'PAG100 FE GE'!$C$3+AI85*'PAG100 FE GE'!$C$4</f>
        <v>820.88718999999992</v>
      </c>
      <c r="AF85" s="9">
        <f>AG85*'PAG20 FE GE'!$C$2+AH85*'PAG20 FE GE'!$C$3+AI85*'PAG20 FE GE'!$C$4</f>
        <v>824.48845000000006</v>
      </c>
      <c r="AG85" s="9">
        <v>817.6</v>
      </c>
      <c r="AH85" s="9">
        <f>77.49/1000</f>
        <v>7.7489999999999989E-2</v>
      </c>
      <c r="AI85" s="9">
        <f>4.53/1000</f>
        <v>4.5300000000000002E-3</v>
      </c>
      <c r="AJ85" s="11">
        <f t="shared" si="14"/>
        <v>30.64626465064622</v>
      </c>
      <c r="AK85" t="s">
        <v>424</v>
      </c>
      <c r="AL85" t="s">
        <v>791</v>
      </c>
    </row>
    <row r="86" spans="1:38" ht="15.75" thickBot="1" x14ac:dyDescent="0.3">
      <c r="A86" s="4" t="s">
        <v>46</v>
      </c>
      <c r="B86" s="7" t="s">
        <v>78</v>
      </c>
      <c r="C86" s="5" t="s">
        <v>3</v>
      </c>
      <c r="D86" s="6" t="s">
        <v>4</v>
      </c>
      <c r="E86" s="6" t="str">
        <f t="shared" si="11"/>
        <v>Pesado de Mercadorias N3: 20-28 t : Gasóleo : E4</v>
      </c>
      <c r="F86" s="6" t="s">
        <v>55</v>
      </c>
      <c r="G86" s="6" t="s">
        <v>96</v>
      </c>
      <c r="H86" s="9">
        <f>IF(G86="MJ",INDEX(Tabela1[Energia (MJ/Qtd.)],MATCH(C86,Tabela1[Fuel],0)),IF(G86="GJ",INDEX(Tabela1[Energia (GJ/Qtd.)2],MATCH(C86,Tabela1[Fuel],0)),"XXX"))</f>
        <v>3.5868000000000004E-2</v>
      </c>
      <c r="I86" s="9">
        <f>O86*'PAG100 FE GE'!$E$2+P86*'PAG100 FE GE'!$E$3+Q86*'PAG100 FE GE'!$E$4</f>
        <v>75024.25</v>
      </c>
      <c r="J86" s="9">
        <f>O86*'PAG20 FE GE'!$E$2+P86*'PAG20 FE GE'!$E$3+Q86*'PAG20 FE GE'!$E$4</f>
        <v>75050.900000000009</v>
      </c>
      <c r="K86" s="9">
        <f>O86*'PAG100 FE GE'!$D$2+P86*'PAG100 FE GE'!$D$3+Q86*'PAG100 FE GE'!$D$4</f>
        <v>75015.5</v>
      </c>
      <c r="L86" s="9">
        <f>O86*'PAG20 FE GE'!$D$2+P86*'PAG20 FE GE'!$D$3+Q86*'PAG20 FE GE'!$D$4</f>
        <v>75042.899999999994</v>
      </c>
      <c r="M86" s="9">
        <f>O86*'PAG100 FE GE'!$C$2+P86*'PAG100 FE GE'!$C$3+Q86*'PAG100 FE GE'!$C$4</f>
        <v>75050.3</v>
      </c>
      <c r="N86" s="9">
        <f>O86*'PAG20 FE GE'!$C$2+P86*'PAG20 FE GE'!$C$3+Q86*'PAG20 FE GE'!$C$4</f>
        <v>75063.899999999994</v>
      </c>
      <c r="O86" s="9">
        <f>74.71*1000</f>
        <v>74710</v>
      </c>
      <c r="P86" s="9">
        <f>0.0005*1000</f>
        <v>0.5</v>
      </c>
      <c r="Q86" s="9">
        <f>0.0011*1000</f>
        <v>1.1000000000000001</v>
      </c>
      <c r="R86" s="9">
        <f>X86*'PAG100 FE GE'!$E$2+Y86*'PAG100 FE GE'!$E$3+Z86*'PAG100 FE GE'!$E$4</f>
        <v>2690.9697990000004</v>
      </c>
      <c r="S86" s="9">
        <f>X86*'PAG20 FE GE'!$E$2+Y86*'PAG20 FE GE'!$E$3+Z86*'PAG20 FE GE'!$E$4</f>
        <v>2691.9256812000008</v>
      </c>
      <c r="T86" s="9">
        <f>X86*'PAG100 FE GE'!$D$2+Y86*'PAG100 FE GE'!$D$3+Z86*'PAG100 FE GE'!$D$4</f>
        <v>2690.6559540000007</v>
      </c>
      <c r="U86" s="9">
        <f>X86*'PAG20 FE GE'!$D$2+Y86*'PAG20 FE GE'!$D$3+Z86*'PAG20 FE GE'!$D$4</f>
        <v>2691.6387372000004</v>
      </c>
      <c r="V86" s="9">
        <f>X86*'PAG100 FE GE'!$C$2+Y86*'PAG100 FE GE'!$C$3+Z86*'PAG100 FE GE'!$C$4</f>
        <v>2691.9041604000008</v>
      </c>
      <c r="W86" s="9">
        <f>X86*'PAG20 FE GE'!$C$2+Y86*'PAG20 FE GE'!$C$3+Z86*'PAG20 FE GE'!$C$4</f>
        <v>2692.3919652000004</v>
      </c>
      <c r="X86" s="9">
        <f t="shared" si="13"/>
        <v>2679.6982800000005</v>
      </c>
      <c r="Y86" s="9">
        <f t="shared" si="13"/>
        <v>1.7934000000000002E-2</v>
      </c>
      <c r="Z86" s="9">
        <f t="shared" si="13"/>
        <v>3.9454800000000005E-2</v>
      </c>
      <c r="AA86" s="9">
        <f>AG86*'PAG100 FE GE'!$E$2+AH86*'PAG100 FE GE'!$E$3+AI86*'PAG100 FE GE'!$E$4</f>
        <v>794.167688</v>
      </c>
      <c r="AB86" s="9">
        <f>AG86*'PAG20 FE GE'!$E$2+AH86*'PAG20 FE GE'!$E$3+AI86*'PAG20 FE GE'!$E$4</f>
        <v>794.42459400000007</v>
      </c>
      <c r="AC86" s="9">
        <f>AG86*'PAG100 FE GE'!$D$2+AH86*'PAG100 FE GE'!$D$3+AI86*'PAG100 FE GE'!$D$4</f>
        <v>794.07401000000004</v>
      </c>
      <c r="AD86" s="9">
        <f>AG86*'PAG20 FE GE'!$D$2+AH86*'PAG20 FE GE'!$D$3+AI86*'PAG20 FE GE'!$D$4</f>
        <v>794.33698000000004</v>
      </c>
      <c r="AE86" s="9">
        <f>AG86*'PAG100 FE GE'!$C$2+AH86*'PAG100 FE GE'!$C$3+AI86*'PAG100 FE GE'!$C$4</f>
        <v>794.44796000000008</v>
      </c>
      <c r="AF86" s="9">
        <f>AG86*'PAG20 FE GE'!$C$2+AH86*'PAG20 FE GE'!$C$3+AI86*'PAG20 FE GE'!$C$4</f>
        <v>794.56857000000002</v>
      </c>
      <c r="AG86" s="9">
        <v>790.82</v>
      </c>
      <c r="AH86" s="9">
        <f>4.82/1000</f>
        <v>4.8200000000000005E-3</v>
      </c>
      <c r="AI86" s="9">
        <f>11.77/1000</f>
        <v>1.1769999999999999E-2</v>
      </c>
      <c r="AJ86" s="11">
        <f t="shared" si="14"/>
        <v>29.511531425097605</v>
      </c>
      <c r="AK86" t="s">
        <v>424</v>
      </c>
      <c r="AL86" t="s">
        <v>791</v>
      </c>
    </row>
    <row r="87" spans="1:38" ht="15.75" thickBot="1" x14ac:dyDescent="0.3">
      <c r="A87" s="4" t="s">
        <v>46</v>
      </c>
      <c r="B87" s="7" t="s">
        <v>78</v>
      </c>
      <c r="C87" s="5" t="s">
        <v>3</v>
      </c>
      <c r="D87" s="6" t="s">
        <v>5</v>
      </c>
      <c r="E87" s="6" t="str">
        <f t="shared" si="11"/>
        <v>Pesado de Mercadorias N3: 20-28 t : Gasóleo : E5</v>
      </c>
      <c r="F87" s="6" t="s">
        <v>55</v>
      </c>
      <c r="G87" s="6" t="s">
        <v>96</v>
      </c>
      <c r="H87" s="9">
        <f>IF(G87="MJ",INDEX(Tabela1[Energia (MJ/Qtd.)],MATCH(C87,Tabela1[Fuel],0)),IF(G87="GJ",INDEX(Tabela1[Energia (GJ/Qtd.)2],MATCH(C87,Tabela1[Fuel],0)),"XXX"))</f>
        <v>3.5868000000000004E-2</v>
      </c>
      <c r="I87" s="9">
        <f>O87*'PAG100 FE GE'!$E$2+P87*'PAG100 FE GE'!$E$3+Q87*'PAG100 FE GE'!$E$4</f>
        <v>75607.55</v>
      </c>
      <c r="J87" s="9">
        <f>O87*'PAG20 FE GE'!$E$2+P87*'PAG20 FE GE'!$E$3+Q87*'PAG20 FE GE'!$E$4</f>
        <v>75634.200000000012</v>
      </c>
      <c r="K87" s="9">
        <f>O87*'PAG100 FE GE'!$D$2+P87*'PAG100 FE GE'!$D$3+Q87*'PAG100 FE GE'!$D$4</f>
        <v>75582</v>
      </c>
      <c r="L87" s="9">
        <f>O87*'PAG20 FE GE'!$D$2+P87*'PAG20 FE GE'!$D$3+Q87*'PAG20 FE GE'!$D$4</f>
        <v>75607.3</v>
      </c>
      <c r="M87" s="9">
        <f>O87*'PAG100 FE GE'!$C$2+P87*'PAG100 FE GE'!$C$3+Q87*'PAG100 FE GE'!$C$4</f>
        <v>75686.100000000006</v>
      </c>
      <c r="N87" s="9">
        <f>O87*'PAG20 FE GE'!$C$2+P87*'PAG20 FE GE'!$C$3+Q87*'PAG20 FE GE'!$C$4</f>
        <v>75680.800000000003</v>
      </c>
      <c r="O87" s="9">
        <f>74.72*1000</f>
        <v>74720</v>
      </c>
      <c r="P87" s="9">
        <f>0.0005*1000</f>
        <v>0.5</v>
      </c>
      <c r="Q87" s="9">
        <f>0.0032*1000</f>
        <v>3.2</v>
      </c>
      <c r="R87" s="9">
        <f>X87*'PAG100 FE GE'!$E$2+Y87*'PAG100 FE GE'!$E$3+Z87*'PAG100 FE GE'!$E$4</f>
        <v>2711.8916034000003</v>
      </c>
      <c r="S87" s="9">
        <f>X87*'PAG20 FE GE'!$E$2+Y87*'PAG20 FE GE'!$E$3+Z87*'PAG20 FE GE'!$E$4</f>
        <v>2712.8474856000007</v>
      </c>
      <c r="T87" s="9">
        <f>X87*'PAG100 FE GE'!$D$2+Y87*'PAG100 FE GE'!$D$3+Z87*'PAG100 FE GE'!$D$4</f>
        <v>2710.9751760000004</v>
      </c>
      <c r="U87" s="9">
        <f>X87*'PAG20 FE GE'!$D$2+Y87*'PAG20 FE GE'!$D$3+Z87*'PAG20 FE GE'!$D$4</f>
        <v>2711.8826364000006</v>
      </c>
      <c r="V87" s="9">
        <f>X87*'PAG100 FE GE'!$C$2+Y87*'PAG100 FE GE'!$C$3+Z87*'PAG100 FE GE'!$C$4</f>
        <v>2714.7090348000006</v>
      </c>
      <c r="W87" s="9">
        <f>X87*'PAG20 FE GE'!$C$2+Y87*'PAG20 FE GE'!$C$3+Z87*'PAG20 FE GE'!$C$4</f>
        <v>2714.5189344000005</v>
      </c>
      <c r="X87" s="9">
        <f t="shared" si="13"/>
        <v>2680.0569600000003</v>
      </c>
      <c r="Y87" s="9">
        <f t="shared" si="13"/>
        <v>1.7934000000000002E-2</v>
      </c>
      <c r="Z87" s="9">
        <f t="shared" si="13"/>
        <v>0.11477760000000002</v>
      </c>
      <c r="AA87" s="9">
        <f>AG87*'PAG100 FE GE'!$E$2+AH87*'PAG100 FE GE'!$E$3+AI87*'PAG100 FE GE'!$E$4</f>
        <v>780.11997799999995</v>
      </c>
      <c r="AB87" s="9">
        <f>AG87*'PAG20 FE GE'!$E$2+AH87*'PAG20 FE GE'!$E$3+AI87*'PAG20 FE GE'!$E$4</f>
        <v>780.37688400000002</v>
      </c>
      <c r="AC87" s="9">
        <f>AG87*'PAG100 FE GE'!$D$2+AH87*'PAG100 FE GE'!$D$3+AI87*'PAG100 FE GE'!$D$4</f>
        <v>779.85246000000006</v>
      </c>
      <c r="AD87" s="9">
        <f>AG87*'PAG20 FE GE'!$D$2+AH87*'PAG20 FE GE'!$D$3+AI87*'PAG20 FE GE'!$D$4</f>
        <v>780.09370000000013</v>
      </c>
      <c r="AE87" s="9">
        <f>AG87*'PAG100 FE GE'!$C$2+AH87*'PAG100 FE GE'!$C$3+AI87*'PAG100 FE GE'!$C$4</f>
        <v>780.94349999999997</v>
      </c>
      <c r="AF87" s="9">
        <f>AG87*'PAG20 FE GE'!$C$2+AH87*'PAG20 FE GE'!$C$3+AI87*'PAG20 FE GE'!$C$4</f>
        <v>780.86854000000005</v>
      </c>
      <c r="AG87" s="9">
        <v>770.84</v>
      </c>
      <c r="AH87" s="9">
        <f t="shared" ref="AH87:AH89" si="15">4.82/1000</f>
        <v>4.8200000000000005E-3</v>
      </c>
      <c r="AI87" s="9">
        <f>33.5/1000</f>
        <v>3.3500000000000002E-2</v>
      </c>
      <c r="AJ87" s="11">
        <f t="shared" si="14"/>
        <v>28.762075265743604</v>
      </c>
      <c r="AK87" t="s">
        <v>424</v>
      </c>
      <c r="AL87" t="s">
        <v>791</v>
      </c>
    </row>
    <row r="88" spans="1:38" ht="15.75" thickBot="1" x14ac:dyDescent="0.3">
      <c r="A88" s="4" t="s">
        <v>46</v>
      </c>
      <c r="B88" s="7" t="s">
        <v>78</v>
      </c>
      <c r="C88" s="5" t="s">
        <v>3</v>
      </c>
      <c r="D88" s="6" t="s">
        <v>6</v>
      </c>
      <c r="E88" s="6" t="str">
        <f t="shared" si="11"/>
        <v>Pesado de Mercadorias N3: 20-28 t : Gasóleo : E6</v>
      </c>
      <c r="F88" s="6" t="s">
        <v>55</v>
      </c>
      <c r="G88" s="6" t="s">
        <v>96</v>
      </c>
      <c r="H88" s="9">
        <f>IF(G88="MJ",INDEX(Tabela1[Energia (MJ/Qtd.)],MATCH(C88,Tabela1[Fuel],0)),IF(G88="GJ",INDEX(Tabela1[Energia (GJ/Qtd.)2],MATCH(C88,Tabela1[Fuel],0)),"XXX"))</f>
        <v>3.5868000000000004E-2</v>
      </c>
      <c r="I88" s="9">
        <f>O88*'PAG100 FE GE'!$E$2+P88*'PAG100 FE GE'!$E$3+Q88*'PAG100 FE GE'!$E$4</f>
        <v>75527.55</v>
      </c>
      <c r="J88" s="9">
        <f>O88*'PAG20 FE GE'!$E$2+P88*'PAG20 FE GE'!$E$3+Q88*'PAG20 FE GE'!$E$4</f>
        <v>75554.200000000012</v>
      </c>
      <c r="K88" s="9">
        <f>O88*'PAG100 FE GE'!$D$2+P88*'PAG100 FE GE'!$D$3+Q88*'PAG100 FE GE'!$D$4</f>
        <v>75502</v>
      </c>
      <c r="L88" s="9">
        <f>O88*'PAG20 FE GE'!$D$2+P88*'PAG20 FE GE'!$D$3+Q88*'PAG20 FE GE'!$D$4</f>
        <v>75527.3</v>
      </c>
      <c r="M88" s="9">
        <f>O88*'PAG100 FE GE'!$C$2+P88*'PAG100 FE GE'!$C$3+Q88*'PAG100 FE GE'!$C$4</f>
        <v>75606.100000000006</v>
      </c>
      <c r="N88" s="9">
        <f>O88*'PAG20 FE GE'!$C$2+P88*'PAG20 FE GE'!$C$3+Q88*'PAG20 FE GE'!$C$4</f>
        <v>75600.800000000003</v>
      </c>
      <c r="O88" s="9">
        <f>74.64*1000</f>
        <v>74640</v>
      </c>
      <c r="P88" s="9">
        <f>0.0005*1000</f>
        <v>0.5</v>
      </c>
      <c r="Q88" s="9">
        <f>0.0032*1000</f>
        <v>3.2</v>
      </c>
      <c r="R88" s="9">
        <f>X88*'PAG100 FE GE'!$E$2+Y88*'PAG100 FE GE'!$E$3+Z88*'PAG100 FE GE'!$E$4</f>
        <v>2709.0221634000004</v>
      </c>
      <c r="S88" s="9">
        <f>X88*'PAG20 FE GE'!$E$2+Y88*'PAG20 FE GE'!$E$3+Z88*'PAG20 FE GE'!$E$4</f>
        <v>2709.9780456000008</v>
      </c>
      <c r="T88" s="9">
        <f>X88*'PAG100 FE GE'!$D$2+Y88*'PAG100 FE GE'!$D$3+Z88*'PAG100 FE GE'!$D$4</f>
        <v>2708.1057360000004</v>
      </c>
      <c r="U88" s="9">
        <f>X88*'PAG20 FE GE'!$D$2+Y88*'PAG20 FE GE'!$D$3+Z88*'PAG20 FE GE'!$D$4</f>
        <v>2709.0131964000007</v>
      </c>
      <c r="V88" s="9">
        <f>X88*'PAG100 FE GE'!$C$2+Y88*'PAG100 FE GE'!$C$3+Z88*'PAG100 FE GE'!$C$4</f>
        <v>2711.8395948000007</v>
      </c>
      <c r="W88" s="9">
        <f>X88*'PAG20 FE GE'!$C$2+Y88*'PAG20 FE GE'!$C$3+Z88*'PAG20 FE GE'!$C$4</f>
        <v>2711.6494944000005</v>
      </c>
      <c r="X88" s="9">
        <f t="shared" si="13"/>
        <v>2677.1875200000004</v>
      </c>
      <c r="Y88" s="9">
        <f t="shared" si="13"/>
        <v>1.7934000000000002E-2</v>
      </c>
      <c r="Z88" s="9">
        <f t="shared" si="13"/>
        <v>0.11477760000000002</v>
      </c>
      <c r="AA88" s="9">
        <f>AG88*'PAG100 FE GE'!$E$2+AH88*'PAG100 FE GE'!$E$3+AI88*'PAG100 FE GE'!$E$4</f>
        <v>790.89727800000003</v>
      </c>
      <c r="AB88" s="9">
        <f>AG88*'PAG20 FE GE'!$E$2+AH88*'PAG20 FE GE'!$E$3+AI88*'PAG20 FE GE'!$E$4</f>
        <v>791.1541840000001</v>
      </c>
      <c r="AC88" s="9">
        <f>AG88*'PAG100 FE GE'!$D$2+AH88*'PAG100 FE GE'!$D$3+AI88*'PAG100 FE GE'!$D$4</f>
        <v>790.62896000000001</v>
      </c>
      <c r="AD88" s="9">
        <f>AG88*'PAG20 FE GE'!$D$2+AH88*'PAG20 FE GE'!$D$3+AI88*'PAG20 FE GE'!$D$4</f>
        <v>790.87010000000009</v>
      </c>
      <c r="AE88" s="9">
        <f>AG88*'PAG100 FE GE'!$C$2+AH88*'PAG100 FE GE'!$C$3+AI88*'PAG100 FE GE'!$C$4</f>
        <v>791.72329999999999</v>
      </c>
      <c r="AF88" s="9">
        <f>AG88*'PAG20 FE GE'!$C$2+AH88*'PAG20 FE GE'!$C$3+AI88*'PAG20 FE GE'!$C$4</f>
        <v>791.64744000000007</v>
      </c>
      <c r="AG88" s="9">
        <v>781.59</v>
      </c>
      <c r="AH88" s="9">
        <f t="shared" si="15"/>
        <v>4.8200000000000005E-3</v>
      </c>
      <c r="AI88" s="9">
        <f>33.6/1000</f>
        <v>3.3600000000000005E-2</v>
      </c>
      <c r="AJ88" s="11">
        <f t="shared" si="14"/>
        <v>29.194443577863382</v>
      </c>
      <c r="AK88" t="s">
        <v>424</v>
      </c>
      <c r="AL88" t="s">
        <v>791</v>
      </c>
    </row>
    <row r="89" spans="1:38" ht="15.75" thickBot="1" x14ac:dyDescent="0.3">
      <c r="A89" s="4" t="s">
        <v>46</v>
      </c>
      <c r="B89" s="7" t="s">
        <v>78</v>
      </c>
      <c r="C89" s="5" t="s">
        <v>3</v>
      </c>
      <c r="D89" s="6" t="s">
        <v>81</v>
      </c>
      <c r="E89" s="6" t="str">
        <f t="shared" si="11"/>
        <v>Pesado de Mercadorias N3: 20-28 t : Gasóleo : E6 D/E E7</v>
      </c>
      <c r="F89" s="6" t="s">
        <v>55</v>
      </c>
      <c r="G89" s="6" t="s">
        <v>96</v>
      </c>
      <c r="H89" s="9">
        <f>IF(G89="MJ",INDEX(Tabela1[Energia (MJ/Qtd.)],MATCH(C89,Tabela1[Fuel],0)),IF(G89="GJ",INDEX(Tabela1[Energia (GJ/Qtd.)2],MATCH(C89,Tabela1[Fuel],0)),"XXX"))</f>
        <v>3.5868000000000004E-2</v>
      </c>
      <c r="I89" s="9">
        <f>O89*'PAG100 FE GE'!$E$2+P89*'PAG100 FE GE'!$E$3+Q89*'PAG100 FE GE'!$E$4</f>
        <v>75527.55</v>
      </c>
      <c r="J89" s="9">
        <f>O89*'PAG20 FE GE'!$E$2+P89*'PAG20 FE GE'!$E$3+Q89*'PAG20 FE GE'!$E$4</f>
        <v>75554.200000000012</v>
      </c>
      <c r="K89" s="9">
        <f>O89*'PAG100 FE GE'!$D$2+P89*'PAG100 FE GE'!$D$3+Q89*'PAG100 FE GE'!$D$4</f>
        <v>75502</v>
      </c>
      <c r="L89" s="9">
        <f>O89*'PAG20 FE GE'!$D$2+P89*'PAG20 FE GE'!$D$3+Q89*'PAG20 FE GE'!$D$4</f>
        <v>75527.3</v>
      </c>
      <c r="M89" s="9">
        <f>O89*'PAG100 FE GE'!$C$2+P89*'PAG100 FE GE'!$C$3+Q89*'PAG100 FE GE'!$C$4</f>
        <v>75606.100000000006</v>
      </c>
      <c r="N89" s="9">
        <f>O89*'PAG20 FE GE'!$C$2+P89*'PAG20 FE GE'!$C$3+Q89*'PAG20 FE GE'!$C$4</f>
        <v>75600.800000000003</v>
      </c>
      <c r="O89" s="9">
        <f>74.64*1000</f>
        <v>74640</v>
      </c>
      <c r="P89" s="9">
        <f>0.0005*1000</f>
        <v>0.5</v>
      </c>
      <c r="Q89" s="9">
        <f>0.0032*1000</f>
        <v>3.2</v>
      </c>
      <c r="R89" s="9">
        <f>X89*'PAG100 FE GE'!$E$2+Y89*'PAG100 FE GE'!$E$3+Z89*'PAG100 FE GE'!$E$4</f>
        <v>2709.0221634000004</v>
      </c>
      <c r="S89" s="9">
        <f>X89*'PAG20 FE GE'!$E$2+Y89*'PAG20 FE GE'!$E$3+Z89*'PAG20 FE GE'!$E$4</f>
        <v>2709.9780456000008</v>
      </c>
      <c r="T89" s="9">
        <f>X89*'PAG100 FE GE'!$D$2+Y89*'PAG100 FE GE'!$D$3+Z89*'PAG100 FE GE'!$D$4</f>
        <v>2708.1057360000004</v>
      </c>
      <c r="U89" s="9">
        <f>X89*'PAG20 FE GE'!$D$2+Y89*'PAG20 FE GE'!$D$3+Z89*'PAG20 FE GE'!$D$4</f>
        <v>2709.0131964000007</v>
      </c>
      <c r="V89" s="9">
        <f>X89*'PAG100 FE GE'!$C$2+Y89*'PAG100 FE GE'!$C$3+Z89*'PAG100 FE GE'!$C$4</f>
        <v>2711.8395948000007</v>
      </c>
      <c r="W89" s="9">
        <f>X89*'PAG20 FE GE'!$C$2+Y89*'PAG20 FE GE'!$C$3+Z89*'PAG20 FE GE'!$C$4</f>
        <v>2711.6494944000005</v>
      </c>
      <c r="X89" s="9">
        <f t="shared" si="13"/>
        <v>2677.1875200000004</v>
      </c>
      <c r="Y89" s="9">
        <f t="shared" si="13"/>
        <v>1.7934000000000002E-2</v>
      </c>
      <c r="Z89" s="9">
        <f t="shared" si="13"/>
        <v>0.11477760000000002</v>
      </c>
      <c r="AA89" s="9">
        <f>AG89*'PAG100 FE GE'!$E$2+AH89*'PAG100 FE GE'!$E$3+AI89*'PAG100 FE GE'!$E$4</f>
        <v>790.66727800000001</v>
      </c>
      <c r="AB89" s="9">
        <f>AG89*'PAG20 FE GE'!$E$2+AH89*'PAG20 FE GE'!$E$3+AI89*'PAG20 FE GE'!$E$4</f>
        <v>790.92418400000008</v>
      </c>
      <c r="AC89" s="9">
        <f>AG89*'PAG100 FE GE'!$D$2+AH89*'PAG100 FE GE'!$D$3+AI89*'PAG100 FE GE'!$D$4</f>
        <v>790.39895999999999</v>
      </c>
      <c r="AD89" s="9">
        <f>AG89*'PAG20 FE GE'!$D$2+AH89*'PAG20 FE GE'!$D$3+AI89*'PAG20 FE GE'!$D$4</f>
        <v>790.64010000000007</v>
      </c>
      <c r="AE89" s="9">
        <f>AG89*'PAG100 FE GE'!$C$2+AH89*'PAG100 FE GE'!$C$3+AI89*'PAG100 FE GE'!$C$4</f>
        <v>791.49329999999998</v>
      </c>
      <c r="AF89" s="9">
        <f>AG89*'PAG20 FE GE'!$C$2+AH89*'PAG20 FE GE'!$C$3+AI89*'PAG20 FE GE'!$C$4</f>
        <v>791.41744000000006</v>
      </c>
      <c r="AG89" s="9">
        <v>781.36</v>
      </c>
      <c r="AH89" s="9">
        <f t="shared" si="15"/>
        <v>4.8200000000000005E-3</v>
      </c>
      <c r="AI89" s="9">
        <f>33.6/1000</f>
        <v>3.3600000000000005E-2</v>
      </c>
      <c r="AJ89" s="11">
        <f t="shared" si="14"/>
        <v>29.185852472523099</v>
      </c>
      <c r="AK89" t="s">
        <v>424</v>
      </c>
      <c r="AL89" t="s">
        <v>791</v>
      </c>
    </row>
    <row r="90" spans="1:38" ht="15.75" thickBot="1" x14ac:dyDescent="0.3">
      <c r="A90" s="4" t="s">
        <v>46</v>
      </c>
      <c r="B90" s="7" t="s">
        <v>80</v>
      </c>
      <c r="C90" s="5" t="s">
        <v>3</v>
      </c>
      <c r="D90" s="6" t="s">
        <v>8</v>
      </c>
      <c r="E90" s="6" t="str">
        <f t="shared" si="11"/>
        <v>Pesado de Mercadorias N3: &gt;28 t : Gasóleo : E0</v>
      </c>
      <c r="F90" s="6" t="s">
        <v>55</v>
      </c>
      <c r="G90" s="6" t="s">
        <v>96</v>
      </c>
      <c r="H90" s="9">
        <f>IF(G90="MJ",INDEX(Tabela1[Energia (MJ/Qtd.)],MATCH(C90,Tabela1[Fuel],0)),IF(G90="GJ",INDEX(Tabela1[Energia (GJ/Qtd.)2],MATCH(C90,Tabela1[Fuel],0)),"XXX"))</f>
        <v>3.5868000000000004E-2</v>
      </c>
      <c r="I90" s="9">
        <f>O90*'PAG100 FE GE'!$E$2+P90*'PAG100 FE GE'!$E$3+Q90*'PAG100 FE GE'!$E$4</f>
        <v>75114.09</v>
      </c>
      <c r="J90" s="9">
        <f>O90*'PAG20 FE GE'!$E$2+P90*'PAG20 FE GE'!$E$3+Q90*'PAG20 FE GE'!$E$4</f>
        <v>75492.52</v>
      </c>
      <c r="K90" s="9">
        <f>O90*'PAG100 FE GE'!$D$2+P90*'PAG100 FE GE'!$D$3+Q90*'PAG100 FE GE'!$D$4</f>
        <v>75098.8</v>
      </c>
      <c r="L90" s="9">
        <f>O90*'PAG20 FE GE'!$D$2+P90*'PAG20 FE GE'!$D$3+Q90*'PAG20 FE GE'!$D$4</f>
        <v>75501.5</v>
      </c>
      <c r="M90" s="9">
        <f>O90*'PAG100 FE GE'!$C$2+P90*'PAG100 FE GE'!$C$3+Q90*'PAG100 FE GE'!$C$4</f>
        <v>75143.5</v>
      </c>
      <c r="N90" s="9">
        <f>O90*'PAG20 FE GE'!$C$2+P90*'PAG20 FE GE'!$C$3+Q90*'PAG20 FE GE'!$C$4</f>
        <v>75459.199999999997</v>
      </c>
      <c r="O90" s="9">
        <f t="shared" ref="O90:O93" si="16">74.37*1000</f>
        <v>74370</v>
      </c>
      <c r="P90" s="9">
        <f>0.0071*1000</f>
        <v>7.1000000000000005</v>
      </c>
      <c r="Q90" s="9">
        <f>0.002*1000</f>
        <v>2</v>
      </c>
      <c r="R90" s="9">
        <f>X90*'PAG100 FE GE'!$E$2+Y90*'PAG100 FE GE'!$E$3+Z90*'PAG100 FE GE'!$E$4</f>
        <v>2694.1921801200001</v>
      </c>
      <c r="S90" s="9">
        <f>X90*'PAG20 FE GE'!$E$2+Y90*'PAG20 FE GE'!$E$3+Z90*'PAG20 FE GE'!$E$4</f>
        <v>2707.7657073600003</v>
      </c>
      <c r="T90" s="9">
        <f>X90*'PAG100 FE GE'!$D$2+Y90*'PAG100 FE GE'!$D$3+Z90*'PAG100 FE GE'!$D$4</f>
        <v>2693.6437584000005</v>
      </c>
      <c r="U90" s="9">
        <f>X90*'PAG20 FE GE'!$D$2+Y90*'PAG20 FE GE'!$D$3+Z90*'PAG20 FE GE'!$D$4</f>
        <v>2708.087802</v>
      </c>
      <c r="V90" s="9">
        <f>X90*'PAG100 FE GE'!$C$2+Y90*'PAG100 FE GE'!$C$3+Z90*'PAG100 FE GE'!$C$4</f>
        <v>2695.2470580000004</v>
      </c>
      <c r="W90" s="9">
        <f>X90*'PAG20 FE GE'!$C$2+Y90*'PAG20 FE GE'!$C$3+Z90*'PAG20 FE GE'!$C$4</f>
        <v>2706.5705856</v>
      </c>
      <c r="X90" s="9">
        <f t="shared" si="13"/>
        <v>2667.5031600000002</v>
      </c>
      <c r="Y90" s="9">
        <f t="shared" si="13"/>
        <v>0.25466280000000002</v>
      </c>
      <c r="Z90" s="9">
        <f t="shared" si="13"/>
        <v>7.1736000000000008E-2</v>
      </c>
      <c r="AA90" s="9">
        <f>AG90*'PAG100 FE GE'!$E$2+AH90*'PAG100 FE GE'!$E$3+AI90*'PAG100 FE GE'!$E$4</f>
        <v>1146.5143599999999</v>
      </c>
      <c r="AB90" s="9">
        <f>AG90*'PAG20 FE GE'!$E$2+AH90*'PAG20 FE GE'!$E$3+AI90*'PAG20 FE GE'!$E$4</f>
        <v>1152.2920799999999</v>
      </c>
      <c r="AC90" s="9">
        <f>AG90*'PAG100 FE GE'!$D$2+AH90*'PAG100 FE GE'!$D$3+AI90*'PAG100 FE GE'!$D$4</f>
        <v>1146.2852</v>
      </c>
      <c r="AD90" s="9">
        <f>AG90*'PAG20 FE GE'!$D$2+AH90*'PAG20 FE GE'!$D$3+AI90*'PAG20 FE GE'!$D$4</f>
        <v>1152.434</v>
      </c>
      <c r="AE90" s="9">
        <f>AG90*'PAG100 FE GE'!$C$2+AH90*'PAG100 FE GE'!$C$3+AI90*'PAG100 FE GE'!$C$4</f>
        <v>1146.95</v>
      </c>
      <c r="AF90" s="9">
        <f>AG90*'PAG20 FE GE'!$C$2+AH90*'PAG20 FE GE'!$C$3+AI90*'PAG20 FE GE'!$C$4</f>
        <v>1151.7748000000001</v>
      </c>
      <c r="AG90" s="9">
        <v>1135.3</v>
      </c>
      <c r="AH90" s="9">
        <f>108.4/1000</f>
        <v>0.10840000000000001</v>
      </c>
      <c r="AI90" s="9">
        <v>0.03</v>
      </c>
      <c r="AJ90" s="11">
        <f t="shared" si="14"/>
        <v>42.560399441101318</v>
      </c>
      <c r="AK90" t="s">
        <v>424</v>
      </c>
      <c r="AL90" t="s">
        <v>791</v>
      </c>
    </row>
    <row r="91" spans="1:38" ht="15.75" thickBot="1" x14ac:dyDescent="0.3">
      <c r="A91" s="4" t="s">
        <v>46</v>
      </c>
      <c r="B91" s="7" t="s">
        <v>80</v>
      </c>
      <c r="C91" s="5" t="s">
        <v>3</v>
      </c>
      <c r="D91" s="6" t="s">
        <v>7</v>
      </c>
      <c r="E91" s="6" t="str">
        <f t="shared" si="11"/>
        <v>Pesado de Mercadorias N3: &gt;28 t : Gasóleo : E1</v>
      </c>
      <c r="F91" s="6" t="s">
        <v>55</v>
      </c>
      <c r="G91" s="6" t="s">
        <v>96</v>
      </c>
      <c r="H91" s="9">
        <f>IF(G91="MJ",INDEX(Tabela1[Energia (MJ/Qtd.)],MATCH(C91,Tabela1[Fuel],0)),IF(G91="GJ",INDEX(Tabela1[Energia (GJ/Qtd.)2],MATCH(C91,Tabela1[Fuel],0)),"XXX"))</f>
        <v>3.5868000000000004E-2</v>
      </c>
      <c r="I91" s="9">
        <f>O91*'PAG100 FE GE'!$E$2+P91*'PAG100 FE GE'!$E$3+Q91*'PAG100 FE GE'!$E$4</f>
        <v>74863.41</v>
      </c>
      <c r="J91" s="9">
        <f>O91*'PAG20 FE GE'!$E$2+P91*'PAG20 FE GE'!$E$3+Q91*'PAG20 FE GE'!$E$4</f>
        <v>75284.479999999996</v>
      </c>
      <c r="K91" s="9">
        <f>O91*'PAG100 FE GE'!$D$2+P91*'PAG100 FE GE'!$D$3+Q91*'PAG100 FE GE'!$D$4</f>
        <v>74856.2</v>
      </c>
      <c r="L91" s="9">
        <f>O91*'PAG20 FE GE'!$D$2+P91*'PAG20 FE GE'!$D$3+Q91*'PAG20 FE GE'!$D$4</f>
        <v>75305.5</v>
      </c>
      <c r="M91" s="9">
        <f>O91*'PAG100 FE GE'!$C$2+P91*'PAG100 FE GE'!$C$3+Q91*'PAG100 FE GE'!$C$4</f>
        <v>74865.5</v>
      </c>
      <c r="N91" s="9">
        <f>O91*'PAG20 FE GE'!$C$2+P91*'PAG20 FE GE'!$C$3+Q91*'PAG20 FE GE'!$C$4</f>
        <v>75227.8</v>
      </c>
      <c r="O91" s="9">
        <f t="shared" si="16"/>
        <v>74370</v>
      </c>
      <c r="P91" s="9">
        <f>0.0079*1000</f>
        <v>7.9</v>
      </c>
      <c r="Q91" s="9">
        <f>0.001*1000</f>
        <v>1</v>
      </c>
      <c r="R91" s="9">
        <f>X91*'PAG100 FE GE'!$E$2+Y91*'PAG100 FE GE'!$E$3+Z91*'PAG100 FE GE'!$E$4</f>
        <v>2685.2007898800002</v>
      </c>
      <c r="S91" s="9">
        <f>X91*'PAG20 FE GE'!$E$2+Y91*'PAG20 FE GE'!$E$3+Z91*'PAG20 FE GE'!$E$4</f>
        <v>2700.3037286400004</v>
      </c>
      <c r="T91" s="9">
        <f>X91*'PAG100 FE GE'!$D$2+Y91*'PAG100 FE GE'!$D$3+Z91*'PAG100 FE GE'!$D$4</f>
        <v>2684.9421816000004</v>
      </c>
      <c r="U91" s="9">
        <f>X91*'PAG20 FE GE'!$D$2+Y91*'PAG20 FE GE'!$D$3+Z91*'PAG20 FE GE'!$D$4</f>
        <v>2701.0576740000001</v>
      </c>
      <c r="V91" s="9">
        <f>X91*'PAG100 FE GE'!$C$2+Y91*'PAG100 FE GE'!$C$3+Z91*'PAG100 FE GE'!$C$4</f>
        <v>2685.2757539999998</v>
      </c>
      <c r="W91" s="9">
        <f>X91*'PAG20 FE GE'!$C$2+Y91*'PAG20 FE GE'!$C$3+Z91*'PAG20 FE GE'!$C$4</f>
        <v>2698.2707304</v>
      </c>
      <c r="X91" s="9">
        <f t="shared" si="13"/>
        <v>2667.5031600000002</v>
      </c>
      <c r="Y91" s="9">
        <f t="shared" si="13"/>
        <v>0.28335720000000003</v>
      </c>
      <c r="Z91" s="9">
        <f t="shared" si="13"/>
        <v>3.5868000000000004E-2</v>
      </c>
      <c r="AA91" s="9">
        <f>AG91*'PAG100 FE GE'!$E$2+AH91*'PAG100 FE GE'!$E$3+AI91*'PAG100 FE GE'!$E$4</f>
        <v>1021.1254399999999</v>
      </c>
      <c r="AB91" s="9">
        <f>AG91*'PAG20 FE GE'!$E$2+AH91*'PAG20 FE GE'!$E$3+AI91*'PAG20 FE GE'!$E$4</f>
        <v>1026.9031600000001</v>
      </c>
      <c r="AC91" s="9">
        <f>AG91*'PAG100 FE GE'!$D$2+AH91*'PAG100 FE GE'!$D$3+AI91*'PAG100 FE GE'!$D$4</f>
        <v>1021.0246</v>
      </c>
      <c r="AD91" s="9">
        <f>AG91*'PAG20 FE GE'!$D$2+AH91*'PAG20 FE GE'!$D$3+AI91*'PAG20 FE GE'!$D$4</f>
        <v>1027.1894400000001</v>
      </c>
      <c r="AE91" s="9">
        <f>AG91*'PAG100 FE GE'!$C$2+AH91*'PAG100 FE GE'!$C$3+AI91*'PAG100 FE GE'!$C$4</f>
        <v>1021.16008</v>
      </c>
      <c r="AF91" s="9">
        <f>AG91*'PAG20 FE GE'!$C$2+AH91*'PAG20 FE GE'!$C$3+AI91*'PAG20 FE GE'!$C$4</f>
        <v>1026.12924</v>
      </c>
      <c r="AG91" s="9">
        <v>1014.29</v>
      </c>
      <c r="AH91" s="9">
        <f>108.4/1000</f>
        <v>0.10840000000000001</v>
      </c>
      <c r="AI91" s="9">
        <f>13.96/1000</f>
        <v>1.396E-2</v>
      </c>
      <c r="AJ91" s="11">
        <f t="shared" si="14"/>
        <v>38.023947458041619</v>
      </c>
      <c r="AK91" t="s">
        <v>424</v>
      </c>
      <c r="AL91" t="s">
        <v>791</v>
      </c>
    </row>
    <row r="92" spans="1:38" ht="15.75" thickBot="1" x14ac:dyDescent="0.3">
      <c r="A92" s="4" t="s">
        <v>46</v>
      </c>
      <c r="B92" s="7" t="s">
        <v>80</v>
      </c>
      <c r="C92" s="5" t="s">
        <v>3</v>
      </c>
      <c r="D92" s="6" t="s">
        <v>9</v>
      </c>
      <c r="E92" s="6" t="str">
        <f t="shared" si="11"/>
        <v>Pesado de Mercadorias N3: &gt;28 t : Gasóleo : E2</v>
      </c>
      <c r="F92" s="6" t="s">
        <v>55</v>
      </c>
      <c r="G92" s="6" t="s">
        <v>96</v>
      </c>
      <c r="H92" s="9">
        <f>IF(G92="MJ",INDEX(Tabela1[Energia (MJ/Qtd.)],MATCH(C92,Tabela1[Fuel],0)),IF(G92="GJ",INDEX(Tabela1[Energia (GJ/Qtd.)2],MATCH(C92,Tabela1[Fuel],0)),"XXX"))</f>
        <v>3.5868000000000004E-2</v>
      </c>
      <c r="I92" s="9">
        <f>O92*'PAG100 FE GE'!$E$2+P92*'PAG100 FE GE'!$E$3+Q92*'PAG100 FE GE'!$E$4</f>
        <v>74813.19</v>
      </c>
      <c r="J92" s="9">
        <f>O92*'PAG20 FE GE'!$E$2+P92*'PAG20 FE GE'!$E$3+Q92*'PAG20 FE GE'!$E$4</f>
        <v>75138.320000000007</v>
      </c>
      <c r="K92" s="9">
        <f>O92*'PAG100 FE GE'!$D$2+P92*'PAG100 FE GE'!$D$3+Q92*'PAG100 FE GE'!$D$4</f>
        <v>74805.8</v>
      </c>
      <c r="L92" s="9">
        <f>O92*'PAG20 FE GE'!$D$2+P92*'PAG20 FE GE'!$D$3+Q92*'PAG20 FE GE'!$D$4</f>
        <v>75152.5</v>
      </c>
      <c r="M92" s="9">
        <f>O92*'PAG100 FE GE'!$C$2+P92*'PAG100 FE GE'!$C$3+Q92*'PAG100 FE GE'!$C$4</f>
        <v>74820.5</v>
      </c>
      <c r="N92" s="9">
        <f>O92*'PAG20 FE GE'!$C$2+P92*'PAG20 FE GE'!$C$3+Q92*'PAG20 FE GE'!$C$4</f>
        <v>75098.2</v>
      </c>
      <c r="O92" s="9">
        <f t="shared" si="16"/>
        <v>74370</v>
      </c>
      <c r="P92" s="9">
        <f>0.0061*1000</f>
        <v>6.1000000000000005</v>
      </c>
      <c r="Q92" s="9">
        <f>0.001*1000</f>
        <v>1</v>
      </c>
      <c r="R92" s="9">
        <f>X92*'PAG100 FE GE'!$E$2+Y92*'PAG100 FE GE'!$E$3+Z92*'PAG100 FE GE'!$E$4</f>
        <v>2683.39949892</v>
      </c>
      <c r="S92" s="9">
        <f>X92*'PAG20 FE GE'!$E$2+Y92*'PAG20 FE GE'!$E$3+Z92*'PAG20 FE GE'!$E$4</f>
        <v>2695.0612617600004</v>
      </c>
      <c r="T92" s="9">
        <f>X92*'PAG100 FE GE'!$D$2+Y92*'PAG100 FE GE'!$D$3+Z92*'PAG100 FE GE'!$D$4</f>
        <v>2683.1344344000004</v>
      </c>
      <c r="U92" s="9">
        <f>X92*'PAG20 FE GE'!$D$2+Y92*'PAG20 FE GE'!$D$3+Z92*'PAG20 FE GE'!$D$4</f>
        <v>2695.5698700000003</v>
      </c>
      <c r="V92" s="9">
        <f>X92*'PAG100 FE GE'!$C$2+Y92*'PAG100 FE GE'!$C$3+Z92*'PAG100 FE GE'!$C$4</f>
        <v>2683.6616939999999</v>
      </c>
      <c r="W92" s="9">
        <f>X92*'PAG20 FE GE'!$C$2+Y92*'PAG20 FE GE'!$C$3+Z92*'PAG20 FE GE'!$C$4</f>
        <v>2693.6222376000001</v>
      </c>
      <c r="X92" s="9">
        <f t="shared" si="13"/>
        <v>2667.5031600000002</v>
      </c>
      <c r="Y92" s="9">
        <f t="shared" si="13"/>
        <v>0.21879480000000004</v>
      </c>
      <c r="Z92" s="9">
        <f t="shared" si="13"/>
        <v>3.5868000000000004E-2</v>
      </c>
      <c r="AA92" s="9">
        <f>AG92*'PAG100 FE GE'!$E$2+AH92*'PAG100 FE GE'!$E$3+AI92*'PAG100 FE GE'!$E$4</f>
        <v>1010.18974</v>
      </c>
      <c r="AB92" s="9">
        <f>AG92*'PAG20 FE GE'!$E$2+AH92*'PAG20 FE GE'!$E$3+AI92*'PAG20 FE GE'!$E$4</f>
        <v>1014.5656700000001</v>
      </c>
      <c r="AC92" s="9">
        <f>AG92*'PAG100 FE GE'!$D$2+AH92*'PAG100 FE GE'!$D$3+AI92*'PAG100 FE GE'!$D$4</f>
        <v>1010.08955</v>
      </c>
      <c r="AD92" s="9">
        <f>AG92*'PAG20 FE GE'!$D$2+AH92*'PAG20 FE GE'!$D$3+AI92*'PAG20 FE GE'!$D$4</f>
        <v>1014.7557</v>
      </c>
      <c r="AE92" s="9">
        <f>AG92*'PAG100 FE GE'!$C$2+AH92*'PAG100 FE GE'!$C$3+AI92*'PAG100 FE GE'!$C$4</f>
        <v>1010.2904000000001</v>
      </c>
      <c r="AF92" s="9">
        <f>AG92*'PAG20 FE GE'!$C$2+AH92*'PAG20 FE GE'!$C$3+AI92*'PAG20 FE GE'!$C$4</f>
        <v>1014.02715</v>
      </c>
      <c r="AG92" s="9">
        <v>1004.2</v>
      </c>
      <c r="AH92" s="9">
        <f>82.1/1000</f>
        <v>8.2099999999999992E-2</v>
      </c>
      <c r="AI92" s="9">
        <f>13.55/1000</f>
        <v>1.3550000000000001E-2</v>
      </c>
      <c r="AJ92" s="11">
        <f t="shared" si="14"/>
        <v>37.645691111383719</v>
      </c>
      <c r="AK92" t="s">
        <v>424</v>
      </c>
      <c r="AL92" t="s">
        <v>791</v>
      </c>
    </row>
    <row r="93" spans="1:38" ht="15.75" thickBot="1" x14ac:dyDescent="0.3">
      <c r="A93" s="4" t="s">
        <v>46</v>
      </c>
      <c r="B93" s="7" t="s">
        <v>80</v>
      </c>
      <c r="C93" s="5" t="s">
        <v>3</v>
      </c>
      <c r="D93" s="6" t="s">
        <v>10</v>
      </c>
      <c r="E93" s="6" t="str">
        <f t="shared" si="11"/>
        <v>Pesado de Mercadorias N3: &gt;28 t : Gasóleo : E3</v>
      </c>
      <c r="F93" s="6" t="s">
        <v>55</v>
      </c>
      <c r="G93" s="6" t="s">
        <v>96</v>
      </c>
      <c r="H93" s="9">
        <f>IF(G93="MJ",INDEX(Tabela1[Energia (MJ/Qtd.)],MATCH(C93,Tabela1[Fuel],0)),IF(G93="GJ",INDEX(Tabela1[Energia (GJ/Qtd.)2],MATCH(C93,Tabela1[Fuel],0)),"XXX"))</f>
        <v>3.5868000000000004E-2</v>
      </c>
      <c r="I93" s="9">
        <f>O93*'PAG100 FE GE'!$E$2+P93*'PAG100 FE GE'!$E$3+Q93*'PAG100 FE GE'!$E$4</f>
        <v>74692.83</v>
      </c>
      <c r="J93" s="9">
        <f>O93*'PAG20 FE GE'!$E$2+P93*'PAG20 FE GE'!$E$3+Q93*'PAG20 FE GE'!$E$4</f>
        <v>74996.639999999999</v>
      </c>
      <c r="K93" s="9">
        <f>O93*'PAG100 FE GE'!$D$2+P93*'PAG100 FE GE'!$D$3+Q93*'PAG100 FE GE'!$D$4</f>
        <v>74688.600000000006</v>
      </c>
      <c r="L93" s="9">
        <f>O93*'PAG20 FE GE'!$D$2+P93*'PAG20 FE GE'!$D$3+Q93*'PAG20 FE GE'!$D$4</f>
        <v>75012.899999999994</v>
      </c>
      <c r="M93" s="9">
        <f>O93*'PAG100 FE GE'!$C$2+P93*'PAG100 FE GE'!$C$3+Q93*'PAG100 FE GE'!$C$4</f>
        <v>74691.3</v>
      </c>
      <c r="N93" s="9">
        <f>O93*'PAG20 FE GE'!$C$2+P93*'PAG20 FE GE'!$C$3+Q93*'PAG20 FE GE'!$C$4</f>
        <v>74953.799999999988</v>
      </c>
      <c r="O93" s="9">
        <f t="shared" si="16"/>
        <v>74370</v>
      </c>
      <c r="P93" s="9">
        <f>0.0057*1000</f>
        <v>5.7</v>
      </c>
      <c r="Q93" s="9">
        <f>0.0006*1000</f>
        <v>0.6</v>
      </c>
      <c r="R93" s="9">
        <f>X93*'PAG100 FE GE'!$E$2+Y93*'PAG100 FE GE'!$E$3+Z93*'PAG100 FE GE'!$E$4</f>
        <v>2679.0824264400003</v>
      </c>
      <c r="S93" s="9">
        <f>X93*'PAG20 FE GE'!$E$2+Y93*'PAG20 FE GE'!$E$3+Z93*'PAG20 FE GE'!$E$4</f>
        <v>2689.9794835200005</v>
      </c>
      <c r="T93" s="9">
        <f>X93*'PAG100 FE GE'!$D$2+Y93*'PAG100 FE GE'!$D$3+Z93*'PAG100 FE GE'!$D$4</f>
        <v>2678.9307048000001</v>
      </c>
      <c r="U93" s="9">
        <f>X93*'PAG20 FE GE'!$D$2+Y93*'PAG20 FE GE'!$D$3+Z93*'PAG20 FE GE'!$D$4</f>
        <v>2690.5626972</v>
      </c>
      <c r="V93" s="9">
        <f>X93*'PAG100 FE GE'!$C$2+Y93*'PAG100 FE GE'!$C$3+Z93*'PAG100 FE GE'!$C$4</f>
        <v>2679.0275484000003</v>
      </c>
      <c r="W93" s="9">
        <f>X93*'PAG20 FE GE'!$C$2+Y93*'PAG20 FE GE'!$C$3+Z93*'PAG20 FE GE'!$C$4</f>
        <v>2688.4428984000001</v>
      </c>
      <c r="X93" s="9">
        <f t="shared" si="13"/>
        <v>2667.5031600000002</v>
      </c>
      <c r="Y93" s="9">
        <f t="shared" si="13"/>
        <v>0.20444760000000003</v>
      </c>
      <c r="Z93" s="9">
        <f t="shared" si="13"/>
        <v>2.1520800000000003E-2</v>
      </c>
      <c r="AA93" s="9">
        <f>AG93*'PAG100 FE GE'!$E$2+AH93*'PAG100 FE GE'!$E$3+AI93*'PAG100 FE GE'!$E$4</f>
        <v>1014.248641</v>
      </c>
      <c r="AB93" s="9">
        <f>AG93*'PAG20 FE GE'!$E$2+AH93*'PAG20 FE GE'!$E$3+AI93*'PAG20 FE GE'!$E$4</f>
        <v>1018.378858</v>
      </c>
      <c r="AC93" s="9">
        <f>AG93*'PAG100 FE GE'!$D$2+AH93*'PAG100 FE GE'!$D$3+AI93*'PAG100 FE GE'!$D$4</f>
        <v>1014.19407</v>
      </c>
      <c r="AD93" s="9">
        <f>AG93*'PAG20 FE GE'!$D$2+AH93*'PAG20 FE GE'!$D$3+AI93*'PAG20 FE GE'!$D$4</f>
        <v>1018.60321</v>
      </c>
      <c r="AE93" s="9">
        <f>AG93*'PAG100 FE GE'!$C$2+AH93*'PAG100 FE GE'!$C$3+AI93*'PAG100 FE GE'!$C$4</f>
        <v>1014.21867</v>
      </c>
      <c r="AF93" s="9">
        <f>AG93*'PAG20 FE GE'!$C$2+AH93*'PAG20 FE GE'!$C$3+AI93*'PAG20 FE GE'!$C$4</f>
        <v>1017.7905900000001</v>
      </c>
      <c r="AG93" s="9">
        <v>1009.96</v>
      </c>
      <c r="AH93" s="9">
        <f>77.49/1000</f>
        <v>7.7489999999999989E-2</v>
      </c>
      <c r="AI93" s="9">
        <f>7.79/1000</f>
        <v>7.79E-3</v>
      </c>
      <c r="AJ93" s="11">
        <f t="shared" si="14"/>
        <v>37.861623376671091</v>
      </c>
      <c r="AK93" t="s">
        <v>424</v>
      </c>
      <c r="AL93" t="s">
        <v>791</v>
      </c>
    </row>
    <row r="94" spans="1:38" ht="15.75" thickBot="1" x14ac:dyDescent="0.3">
      <c r="A94" s="4" t="s">
        <v>46</v>
      </c>
      <c r="B94" s="7" t="s">
        <v>80</v>
      </c>
      <c r="C94" s="5" t="s">
        <v>3</v>
      </c>
      <c r="D94" s="6" t="s">
        <v>4</v>
      </c>
      <c r="E94" s="6" t="str">
        <f t="shared" si="11"/>
        <v>Pesado de Mercadorias N3: &gt;28 t : Gasóleo : E4</v>
      </c>
      <c r="F94" s="6" t="s">
        <v>55</v>
      </c>
      <c r="G94" s="6" t="s">
        <v>96</v>
      </c>
      <c r="H94" s="9">
        <f>IF(G94="MJ",INDEX(Tabela1[Energia (MJ/Qtd.)],MATCH(C94,Tabela1[Fuel],0)),IF(G94="GJ",INDEX(Tabela1[Energia (GJ/Qtd.)2],MATCH(C94,Tabela1[Fuel],0)),"XXX"))</f>
        <v>3.5868000000000004E-2</v>
      </c>
      <c r="I94" s="9">
        <f>O94*'PAG100 FE GE'!$E$2+P94*'PAG100 FE GE'!$E$3+Q94*'PAG100 FE GE'!$E$4</f>
        <v>75130.66</v>
      </c>
      <c r="J94" s="9">
        <f>O94*'PAG20 FE GE'!$E$2+P94*'PAG20 FE GE'!$E$3+Q94*'PAG20 FE GE'!$E$4</f>
        <v>75151.98</v>
      </c>
      <c r="K94" s="9">
        <f>O94*'PAG100 FE GE'!$D$2+P94*'PAG100 FE GE'!$D$3+Q94*'PAG100 FE GE'!$D$4</f>
        <v>75118.7</v>
      </c>
      <c r="L94" s="9">
        <f>O94*'PAG20 FE GE'!$D$2+P94*'PAG20 FE GE'!$D$3+Q94*'PAG20 FE GE'!$D$4</f>
        <v>75140</v>
      </c>
      <c r="M94" s="9">
        <f>O94*'PAG100 FE GE'!$C$2+P94*'PAG100 FE GE'!$C$3+Q94*'PAG100 FE GE'!$C$4</f>
        <v>75167</v>
      </c>
      <c r="N94" s="9">
        <f>O94*'PAG20 FE GE'!$C$2+P94*'PAG20 FE GE'!$C$3+Q94*'PAG20 FE GE'!$C$4</f>
        <v>75172.3</v>
      </c>
      <c r="O94" s="9">
        <f>74.71*1000</f>
        <v>74710</v>
      </c>
      <c r="P94" s="9">
        <f>0.0004*1000</f>
        <v>0.4</v>
      </c>
      <c r="Q94" s="9">
        <f>0.0015*1000</f>
        <v>1.5</v>
      </c>
      <c r="R94" s="9">
        <f>X94*'PAG100 FE GE'!$E$2+Y94*'PAG100 FE GE'!$E$3+Z94*'PAG100 FE GE'!$E$4</f>
        <v>2694.7865128800004</v>
      </c>
      <c r="S94" s="9">
        <f>X94*'PAG20 FE GE'!$E$2+Y94*'PAG20 FE GE'!$E$3+Z94*'PAG20 FE GE'!$E$4</f>
        <v>2695.5512186400006</v>
      </c>
      <c r="T94" s="9">
        <f>X94*'PAG100 FE GE'!$D$2+Y94*'PAG100 FE GE'!$D$3+Z94*'PAG100 FE GE'!$D$4</f>
        <v>2694.3575316000006</v>
      </c>
      <c r="U94" s="9">
        <f>X94*'PAG20 FE GE'!$D$2+Y94*'PAG20 FE GE'!$D$3+Z94*'PAG20 FE GE'!$D$4</f>
        <v>2695.1215200000006</v>
      </c>
      <c r="V94" s="9">
        <f>X94*'PAG100 FE GE'!$C$2+Y94*'PAG100 FE GE'!$C$3+Z94*'PAG100 FE GE'!$C$4</f>
        <v>2696.0899560000003</v>
      </c>
      <c r="W94" s="9">
        <f>X94*'PAG20 FE GE'!$C$2+Y94*'PAG20 FE GE'!$C$3+Z94*'PAG20 FE GE'!$C$4</f>
        <v>2696.2800564000004</v>
      </c>
      <c r="X94" s="9">
        <f t="shared" si="13"/>
        <v>2679.6982800000005</v>
      </c>
      <c r="Y94" s="9">
        <f t="shared" si="13"/>
        <v>1.4347200000000003E-2</v>
      </c>
      <c r="Z94" s="9">
        <f t="shared" si="13"/>
        <v>5.3802000000000003E-2</v>
      </c>
      <c r="AA94" s="9">
        <f>AG94*'PAG100 FE GE'!$E$2+AH94*'PAG100 FE GE'!$E$3+AI94*'PAG100 FE GE'!$E$4</f>
        <v>914.02491799999996</v>
      </c>
      <c r="AB94" s="9">
        <f>AG94*'PAG20 FE GE'!$E$2+AH94*'PAG20 FE GE'!$E$3+AI94*'PAG20 FE GE'!$E$4</f>
        <v>914.28182400000003</v>
      </c>
      <c r="AC94" s="9">
        <f>AG94*'PAG100 FE GE'!$D$2+AH94*'PAG100 FE GE'!$D$3+AI94*'PAG100 FE GE'!$D$4</f>
        <v>913.87915999999996</v>
      </c>
      <c r="AD94" s="9">
        <f>AG94*'PAG20 FE GE'!$D$2+AH94*'PAG20 FE GE'!$D$3+AI94*'PAG20 FE GE'!$D$4</f>
        <v>914.13562000000002</v>
      </c>
      <c r="AE94" s="9">
        <f>AG94*'PAG100 FE GE'!$C$2+AH94*'PAG100 FE GE'!$C$3+AI94*'PAG100 FE GE'!$C$4</f>
        <v>914.46794</v>
      </c>
      <c r="AF94" s="9">
        <f>AG94*'PAG20 FE GE'!$C$2+AH94*'PAG20 FE GE'!$C$3+AI94*'PAG20 FE GE'!$C$4</f>
        <v>914.52995999999996</v>
      </c>
      <c r="AG94" s="9">
        <v>908.9</v>
      </c>
      <c r="AH94" s="9">
        <f>4.82/1000</f>
        <v>4.8200000000000005E-3</v>
      </c>
      <c r="AI94" s="9">
        <f>18.28/1000</f>
        <v>1.8280000000000001E-2</v>
      </c>
      <c r="AJ94" s="11">
        <f t="shared" si="14"/>
        <v>33.917997663527991</v>
      </c>
      <c r="AK94" t="s">
        <v>424</v>
      </c>
      <c r="AL94" t="s">
        <v>791</v>
      </c>
    </row>
    <row r="95" spans="1:38" ht="15.75" thickBot="1" x14ac:dyDescent="0.3">
      <c r="A95" s="4" t="s">
        <v>46</v>
      </c>
      <c r="B95" s="7" t="s">
        <v>80</v>
      </c>
      <c r="C95" s="5" t="s">
        <v>3</v>
      </c>
      <c r="D95" s="6" t="s">
        <v>5</v>
      </c>
      <c r="E95" s="6" t="str">
        <f t="shared" si="11"/>
        <v>Pesado de Mercadorias N3: &gt;28 t : Gasóleo : E5</v>
      </c>
      <c r="F95" s="6" t="s">
        <v>55</v>
      </c>
      <c r="G95" s="6" t="s">
        <v>96</v>
      </c>
      <c r="H95" s="9">
        <f>IF(G95="MJ",INDEX(Tabela1[Energia (MJ/Qtd.)],MATCH(C95,Tabela1[Fuel],0)),IF(G95="GJ",INDEX(Tabela1[Energia (GJ/Qtd.)2],MATCH(C95,Tabela1[Fuel],0)),"XXX"))</f>
        <v>3.5868000000000004E-2</v>
      </c>
      <c r="I95" s="9">
        <f>O95*'PAG100 FE GE'!$E$2+P95*'PAG100 FE GE'!$E$3+Q95*'PAG100 FE GE'!$E$4</f>
        <v>75895.06</v>
      </c>
      <c r="J95" s="9">
        <f>O95*'PAG20 FE GE'!$E$2+P95*'PAG20 FE GE'!$E$3+Q95*'PAG20 FE GE'!$E$4</f>
        <v>75916.37999999999</v>
      </c>
      <c r="K95" s="9">
        <f>O95*'PAG100 FE GE'!$D$2+P95*'PAG100 FE GE'!$D$3+Q95*'PAG100 FE GE'!$D$4</f>
        <v>75860.7</v>
      </c>
      <c r="L95" s="9">
        <f>O95*'PAG20 FE GE'!$D$2+P95*'PAG20 FE GE'!$D$3+Q95*'PAG20 FE GE'!$D$4</f>
        <v>75879.199999999997</v>
      </c>
      <c r="M95" s="9">
        <f>O95*'PAG100 FE GE'!$C$2+P95*'PAG100 FE GE'!$C$3+Q95*'PAG100 FE GE'!$C$4</f>
        <v>76001.399999999994</v>
      </c>
      <c r="N95" s="9">
        <f>O95*'PAG20 FE GE'!$C$2+P95*'PAG20 FE GE'!$C$3+Q95*'PAG20 FE GE'!$C$4</f>
        <v>75981.5</v>
      </c>
      <c r="O95" s="9">
        <f>74.71*1000</f>
        <v>74710</v>
      </c>
      <c r="P95" s="9">
        <f>0.0004*1000</f>
        <v>0.4</v>
      </c>
      <c r="Q95" s="9">
        <f>0.0043*1000</f>
        <v>4.3</v>
      </c>
      <c r="R95" s="9">
        <f>X95*'PAG100 FE GE'!$E$2+Y95*'PAG100 FE GE'!$E$3+Z95*'PAG100 FE GE'!$E$4</f>
        <v>2722.2040120800002</v>
      </c>
      <c r="S95" s="9">
        <f>X95*'PAG20 FE GE'!$E$2+Y95*'PAG20 FE GE'!$E$3+Z95*'PAG20 FE GE'!$E$4</f>
        <v>2722.9687178400004</v>
      </c>
      <c r="T95" s="9">
        <f>X95*'PAG100 FE GE'!$D$2+Y95*'PAG100 FE GE'!$D$3+Z95*'PAG100 FE GE'!$D$4</f>
        <v>2720.9715876000009</v>
      </c>
      <c r="U95" s="9">
        <f>X95*'PAG20 FE GE'!$D$2+Y95*'PAG20 FE GE'!$D$3+Z95*'PAG20 FE GE'!$D$4</f>
        <v>2721.6351456000007</v>
      </c>
      <c r="V95" s="9">
        <f>X95*'PAG100 FE GE'!$C$2+Y95*'PAG100 FE GE'!$C$3+Z95*'PAG100 FE GE'!$C$4</f>
        <v>2726.0182152000002</v>
      </c>
      <c r="W95" s="9">
        <f>X95*'PAG20 FE GE'!$C$2+Y95*'PAG20 FE GE'!$C$3+Z95*'PAG20 FE GE'!$C$4</f>
        <v>2725.3044420000006</v>
      </c>
      <c r="X95" s="9">
        <f t="shared" si="13"/>
        <v>2679.6982800000005</v>
      </c>
      <c r="Y95" s="9">
        <f t="shared" si="13"/>
        <v>1.4347200000000003E-2</v>
      </c>
      <c r="Z95" s="9">
        <f t="shared" si="13"/>
        <v>0.15423240000000002</v>
      </c>
      <c r="AA95" s="9">
        <f>AG95*'PAG100 FE GE'!$E$2+AH95*'PAG100 FE GE'!$E$3+AI95*'PAG100 FE GE'!$E$4</f>
        <v>897.32848799999988</v>
      </c>
      <c r="AB95" s="9">
        <f>AG95*'PAG20 FE GE'!$E$2+AH95*'PAG20 FE GE'!$E$3+AI95*'PAG20 FE GE'!$E$4</f>
        <v>897.58539399999995</v>
      </c>
      <c r="AC95" s="9">
        <f>AG95*'PAG100 FE GE'!$D$2+AH95*'PAG100 FE GE'!$D$3+AI95*'PAG100 FE GE'!$D$4</f>
        <v>896.91800999999998</v>
      </c>
      <c r="AD95" s="9">
        <f>AG95*'PAG20 FE GE'!$D$2+AH95*'PAG20 FE GE'!$D$3+AI95*'PAG20 FE GE'!$D$4</f>
        <v>897.14138000000003</v>
      </c>
      <c r="AE95" s="9">
        <f>AG95*'PAG100 FE GE'!$C$2+AH95*'PAG100 FE GE'!$C$3+AI95*'PAG100 FE GE'!$C$4</f>
        <v>898.59875999999997</v>
      </c>
      <c r="AF95" s="9">
        <f>AG95*'PAG20 FE GE'!$C$2+AH95*'PAG20 FE GE'!$C$3+AI95*'PAG20 FE GE'!$C$4</f>
        <v>898.3629699999999</v>
      </c>
      <c r="AG95" s="9">
        <v>883.17</v>
      </c>
      <c r="AH95" s="9">
        <f t="shared" ref="AH95:AH97" si="17">4.82/1000</f>
        <v>4.8200000000000005E-3</v>
      </c>
      <c r="AI95" s="9">
        <f>51.37/1000</f>
        <v>5.1369999999999999E-2</v>
      </c>
      <c r="AJ95" s="11">
        <f t="shared" si="14"/>
        <v>32.957814937284645</v>
      </c>
      <c r="AK95" t="s">
        <v>424</v>
      </c>
      <c r="AL95" t="s">
        <v>791</v>
      </c>
    </row>
    <row r="96" spans="1:38" ht="15.75" thickBot="1" x14ac:dyDescent="0.3">
      <c r="A96" s="4" t="s">
        <v>46</v>
      </c>
      <c r="B96" s="7" t="s">
        <v>80</v>
      </c>
      <c r="C96" s="5" t="s">
        <v>3</v>
      </c>
      <c r="D96" s="6" t="s">
        <v>6</v>
      </c>
      <c r="E96" s="6" t="str">
        <f t="shared" si="11"/>
        <v>Pesado de Mercadorias N3: &gt;28 t : Gasóleo : E6</v>
      </c>
      <c r="F96" s="6" t="s">
        <v>55</v>
      </c>
      <c r="G96" s="6" t="s">
        <v>96</v>
      </c>
      <c r="H96" s="9">
        <f>IF(G96="MJ",INDEX(Tabela1[Energia (MJ/Qtd.)],MATCH(C96,Tabela1[Fuel],0)),IF(G96="GJ",INDEX(Tabela1[Energia (GJ/Qtd.)2],MATCH(C96,Tabela1[Fuel],0)),"XXX"))</f>
        <v>3.5868000000000004E-2</v>
      </c>
      <c r="I96" s="9">
        <f>O96*'PAG100 FE GE'!$E$2+P96*'PAG100 FE GE'!$E$3+Q96*'PAG100 FE GE'!$E$4</f>
        <v>75815.06</v>
      </c>
      <c r="J96" s="9">
        <f>O96*'PAG20 FE GE'!$E$2+P96*'PAG20 FE GE'!$E$3+Q96*'PAG20 FE GE'!$E$4</f>
        <v>75836.37999999999</v>
      </c>
      <c r="K96" s="9">
        <f>O96*'PAG100 FE GE'!$D$2+P96*'PAG100 FE GE'!$D$3+Q96*'PAG100 FE GE'!$D$4</f>
        <v>75780.7</v>
      </c>
      <c r="L96" s="9">
        <f>O96*'PAG20 FE GE'!$D$2+P96*'PAG20 FE GE'!$D$3+Q96*'PAG20 FE GE'!$D$4</f>
        <v>75799.199999999997</v>
      </c>
      <c r="M96" s="9">
        <f>O96*'PAG100 FE GE'!$C$2+P96*'PAG100 FE GE'!$C$3+Q96*'PAG100 FE GE'!$C$4</f>
        <v>75921.399999999994</v>
      </c>
      <c r="N96" s="9">
        <f>O96*'PAG20 FE GE'!$C$2+P96*'PAG20 FE GE'!$C$3+Q96*'PAG20 FE GE'!$C$4</f>
        <v>75901.5</v>
      </c>
      <c r="O96" s="9">
        <f>74.63*1000</f>
        <v>74630</v>
      </c>
      <c r="P96" s="9">
        <f>0.0004*1000</f>
        <v>0.4</v>
      </c>
      <c r="Q96" s="9">
        <f>0.0043*1000</f>
        <v>4.3</v>
      </c>
      <c r="R96" s="9">
        <f>X96*'PAG100 FE GE'!$E$2+Y96*'PAG100 FE GE'!$E$3+Z96*'PAG100 FE GE'!$E$4</f>
        <v>2719.3345720799998</v>
      </c>
      <c r="S96" s="9">
        <f>X96*'PAG20 FE GE'!$E$2+Y96*'PAG20 FE GE'!$E$3+Z96*'PAG20 FE GE'!$E$4</f>
        <v>2720.09927784</v>
      </c>
      <c r="T96" s="9">
        <f>X96*'PAG100 FE GE'!$D$2+Y96*'PAG100 FE GE'!$D$3+Z96*'PAG100 FE GE'!$D$4</f>
        <v>2718.1021476000005</v>
      </c>
      <c r="U96" s="9">
        <f>X96*'PAG20 FE GE'!$D$2+Y96*'PAG20 FE GE'!$D$3+Z96*'PAG20 FE GE'!$D$4</f>
        <v>2718.7657056000003</v>
      </c>
      <c r="V96" s="9">
        <f>X96*'PAG100 FE GE'!$C$2+Y96*'PAG100 FE GE'!$C$3+Z96*'PAG100 FE GE'!$C$4</f>
        <v>2723.1487751999998</v>
      </c>
      <c r="W96" s="9">
        <f>X96*'PAG20 FE GE'!$C$2+Y96*'PAG20 FE GE'!$C$3+Z96*'PAG20 FE GE'!$C$4</f>
        <v>2722.4350020000002</v>
      </c>
      <c r="X96" s="9">
        <f t="shared" si="13"/>
        <v>2676.8288400000001</v>
      </c>
      <c r="Y96" s="9">
        <f t="shared" si="13"/>
        <v>1.4347200000000003E-2</v>
      </c>
      <c r="Z96" s="9">
        <f t="shared" si="13"/>
        <v>0.15423240000000002</v>
      </c>
      <c r="AA96" s="9">
        <f>AG96*'PAG100 FE GE'!$E$2+AH96*'PAG100 FE GE'!$E$3+AI96*'PAG100 FE GE'!$E$4</f>
        <v>901.59667799999988</v>
      </c>
      <c r="AB96" s="9">
        <f>AG96*'PAG20 FE GE'!$E$2+AH96*'PAG20 FE GE'!$E$3+AI96*'PAG20 FE GE'!$E$4</f>
        <v>901.85358399999996</v>
      </c>
      <c r="AC96" s="9">
        <f>AG96*'PAG100 FE GE'!$D$2+AH96*'PAG100 FE GE'!$D$3+AI96*'PAG100 FE GE'!$D$4</f>
        <v>901.18595999999991</v>
      </c>
      <c r="AD96" s="9">
        <f>AG96*'PAG20 FE GE'!$D$2+AH96*'PAG20 FE GE'!$D$3+AI96*'PAG20 FE GE'!$D$4</f>
        <v>901.40930000000003</v>
      </c>
      <c r="AE96" s="9">
        <f>AG96*'PAG100 FE GE'!$C$2+AH96*'PAG100 FE GE'!$C$3+AI96*'PAG100 FE GE'!$C$4</f>
        <v>902.8676999999999</v>
      </c>
      <c r="AF96" s="9">
        <f>AG96*'PAG20 FE GE'!$C$2+AH96*'PAG20 FE GE'!$C$3+AI96*'PAG20 FE GE'!$C$4</f>
        <v>902.63163999999995</v>
      </c>
      <c r="AG96" s="9">
        <v>887.43</v>
      </c>
      <c r="AH96" s="9">
        <f t="shared" si="17"/>
        <v>4.8200000000000005E-3</v>
      </c>
      <c r="AI96" s="9">
        <f>51.4/1000</f>
        <v>5.1400000000000001E-2</v>
      </c>
      <c r="AJ96" s="11">
        <f t="shared" si="14"/>
        <v>33.152287764502717</v>
      </c>
      <c r="AK96" t="s">
        <v>424</v>
      </c>
      <c r="AL96" t="s">
        <v>791</v>
      </c>
    </row>
    <row r="97" spans="1:38" ht="15.75" thickBot="1" x14ac:dyDescent="0.3">
      <c r="A97" s="4" t="s">
        <v>46</v>
      </c>
      <c r="B97" s="7" t="s">
        <v>80</v>
      </c>
      <c r="C97" s="5" t="s">
        <v>3</v>
      </c>
      <c r="D97" s="6" t="s">
        <v>81</v>
      </c>
      <c r="E97" s="6" t="str">
        <f t="shared" si="11"/>
        <v>Pesado de Mercadorias N3: &gt;28 t : Gasóleo : E6 D/E E7</v>
      </c>
      <c r="F97" s="6" t="s">
        <v>55</v>
      </c>
      <c r="G97" s="6" t="s">
        <v>96</v>
      </c>
      <c r="H97" s="9">
        <f>IF(G97="MJ",INDEX(Tabela1[Energia (MJ/Qtd.)],MATCH(C97,Tabela1[Fuel],0)),IF(G97="GJ",INDEX(Tabela1[Energia (GJ/Qtd.)2],MATCH(C97,Tabela1[Fuel],0)),"XXX"))</f>
        <v>3.5868000000000004E-2</v>
      </c>
      <c r="I97" s="9">
        <f>O97*'PAG100 FE GE'!$E$2+P97*'PAG100 FE GE'!$E$3+Q97*'PAG100 FE GE'!$E$4</f>
        <v>75815.06</v>
      </c>
      <c r="J97" s="9">
        <f>O97*'PAG20 FE GE'!$E$2+P97*'PAG20 FE GE'!$E$3+Q97*'PAG20 FE GE'!$E$4</f>
        <v>75836.37999999999</v>
      </c>
      <c r="K97" s="9">
        <f>O97*'PAG100 FE GE'!$D$2+P97*'PAG100 FE GE'!$D$3+Q97*'PAG100 FE GE'!$D$4</f>
        <v>75780.7</v>
      </c>
      <c r="L97" s="9">
        <f>O97*'PAG20 FE GE'!$D$2+P97*'PAG20 FE GE'!$D$3+Q97*'PAG20 FE GE'!$D$4</f>
        <v>75799.199999999997</v>
      </c>
      <c r="M97" s="9">
        <f>O97*'PAG100 FE GE'!$C$2+P97*'PAG100 FE GE'!$C$3+Q97*'PAG100 FE GE'!$C$4</f>
        <v>75921.399999999994</v>
      </c>
      <c r="N97" s="9">
        <f>O97*'PAG20 FE GE'!$C$2+P97*'PAG20 FE GE'!$C$3+Q97*'PAG20 FE GE'!$C$4</f>
        <v>75901.5</v>
      </c>
      <c r="O97" s="9">
        <f>74.63*1000</f>
        <v>74630</v>
      </c>
      <c r="P97" s="9">
        <f>0.0004*1000</f>
        <v>0.4</v>
      </c>
      <c r="Q97" s="9">
        <f>0.0043*1000</f>
        <v>4.3</v>
      </c>
      <c r="R97" s="9">
        <f>X97*'PAG100 FE GE'!$E$2+Y97*'PAG100 FE GE'!$E$3+Z97*'PAG100 FE GE'!$E$4</f>
        <v>2719.3345720799998</v>
      </c>
      <c r="S97" s="9">
        <f>X97*'PAG20 FE GE'!$E$2+Y97*'PAG20 FE GE'!$E$3+Z97*'PAG20 FE GE'!$E$4</f>
        <v>2720.09927784</v>
      </c>
      <c r="T97" s="9">
        <f>X97*'PAG100 FE GE'!$D$2+Y97*'PAG100 FE GE'!$D$3+Z97*'PAG100 FE GE'!$D$4</f>
        <v>2718.1021476000005</v>
      </c>
      <c r="U97" s="9">
        <f>X97*'PAG20 FE GE'!$D$2+Y97*'PAG20 FE GE'!$D$3+Z97*'PAG20 FE GE'!$D$4</f>
        <v>2718.7657056000003</v>
      </c>
      <c r="V97" s="9">
        <f>X97*'PAG100 FE GE'!$C$2+Y97*'PAG100 FE GE'!$C$3+Z97*'PAG100 FE GE'!$C$4</f>
        <v>2723.1487751999998</v>
      </c>
      <c r="W97" s="9">
        <f>X97*'PAG20 FE GE'!$C$2+Y97*'PAG20 FE GE'!$C$3+Z97*'PAG20 FE GE'!$C$4</f>
        <v>2722.4350020000002</v>
      </c>
      <c r="X97" s="9">
        <f t="shared" si="13"/>
        <v>2676.8288400000001</v>
      </c>
      <c r="Y97" s="9">
        <f t="shared" si="13"/>
        <v>1.4347200000000003E-2</v>
      </c>
      <c r="Z97" s="9">
        <f t="shared" si="13"/>
        <v>0.15423240000000002</v>
      </c>
      <c r="AA97" s="9">
        <f>AG97*'PAG100 FE GE'!$E$2+AH97*'PAG100 FE GE'!$E$3+AI97*'PAG100 FE GE'!$E$4</f>
        <v>901.59667799999988</v>
      </c>
      <c r="AB97" s="9">
        <f>AG97*'PAG20 FE GE'!$E$2+AH97*'PAG20 FE GE'!$E$3+AI97*'PAG20 FE GE'!$E$4</f>
        <v>901.85358399999996</v>
      </c>
      <c r="AC97" s="9">
        <f>AG97*'PAG100 FE GE'!$D$2+AH97*'PAG100 FE GE'!$D$3+AI97*'PAG100 FE GE'!$D$4</f>
        <v>901.18595999999991</v>
      </c>
      <c r="AD97" s="9">
        <f>AG97*'PAG20 FE GE'!$D$2+AH97*'PAG20 FE GE'!$D$3+AI97*'PAG20 FE GE'!$D$4</f>
        <v>901.40930000000003</v>
      </c>
      <c r="AE97" s="9">
        <f>AG97*'PAG100 FE GE'!$C$2+AH97*'PAG100 FE GE'!$C$3+AI97*'PAG100 FE GE'!$C$4</f>
        <v>902.8676999999999</v>
      </c>
      <c r="AF97" s="9">
        <f>AG97*'PAG20 FE GE'!$C$2+AH97*'PAG20 FE GE'!$C$3+AI97*'PAG20 FE GE'!$C$4</f>
        <v>902.63163999999995</v>
      </c>
      <c r="AG97" s="9">
        <v>887.43</v>
      </c>
      <c r="AH97" s="9">
        <f t="shared" si="17"/>
        <v>4.8200000000000005E-3</v>
      </c>
      <c r="AI97" s="9">
        <f>51.4/1000</f>
        <v>5.1400000000000001E-2</v>
      </c>
      <c r="AJ97" s="11">
        <f t="shared" si="14"/>
        <v>33.152287764502717</v>
      </c>
      <c r="AK97" t="s">
        <v>424</v>
      </c>
      <c r="AL97" t="s">
        <v>791</v>
      </c>
    </row>
    <row r="98" spans="1:38" ht="15.75" thickBot="1" x14ac:dyDescent="0.3">
      <c r="A98" s="4" t="s">
        <v>41</v>
      </c>
      <c r="B98" s="7" t="s">
        <v>16</v>
      </c>
      <c r="C98" s="5" t="s">
        <v>3</v>
      </c>
      <c r="D98" s="6" t="s">
        <v>16</v>
      </c>
      <c r="E98" s="6" t="str">
        <f t="shared" si="11"/>
        <v>Ligeiro de Passageiros M1: Geral : Gasóleo : Geral</v>
      </c>
      <c r="F98" s="6" t="s">
        <v>55</v>
      </c>
      <c r="G98" s="6" t="s">
        <v>96</v>
      </c>
      <c r="H98" s="9">
        <f>IF(G98="MJ",INDEX(Tabela1[Energia (MJ/Qtd.)],MATCH(C98,Tabela1[Fuel],0)),IF(G98="GJ",INDEX(Tabela1[Energia (GJ/Qtd.)2],MATCH(C98,Tabela1[Fuel],0)),"XXX"))</f>
        <v>3.5868000000000004E-2</v>
      </c>
      <c r="I98" s="9">
        <f>O98*'PAG100 FE GE'!$E$2+P98*'PAG100 FE GE'!$E$3+Q98*'PAG100 FE GE'!$E$4</f>
        <v>72662.179999999993</v>
      </c>
      <c r="J98" s="9">
        <f>O98*'PAG20 FE GE'!$E$2+P98*'PAG20 FE GE'!$E$3+Q98*'PAG20 FE GE'!$E$4</f>
        <v>72992.639999999999</v>
      </c>
      <c r="K98" s="9">
        <f>O98*'PAG100 FE GE'!$D$2+P98*'PAG100 FE GE'!$D$3+Q98*'PAG100 FE GE'!$D$4</f>
        <v>72659.600000000006</v>
      </c>
      <c r="L98" s="9">
        <f>O98*'PAG20 FE GE'!$D$2+P98*'PAG20 FE GE'!$D$3+Q98*'PAG20 FE GE'!$D$4</f>
        <v>73012.600000000006</v>
      </c>
      <c r="M98" s="9">
        <f>O98*'PAG100 FE GE'!$C$2+P98*'PAG100 FE GE'!$C$3+Q98*'PAG100 FE GE'!$C$4</f>
        <v>72654.2</v>
      </c>
      <c r="N98" s="9">
        <f>O98*'PAG20 FE GE'!$C$2+P98*'PAG20 FE GE'!$C$3+Q98*'PAG20 FE GE'!$C$4</f>
        <v>72942</v>
      </c>
      <c r="O98" s="16">
        <f>72.38*1000</f>
        <v>72380</v>
      </c>
      <c r="P98" s="16">
        <f>0.0062*1000</f>
        <v>6.2</v>
      </c>
      <c r="Q98" s="16">
        <f>0.0004*1000</f>
        <v>0.4</v>
      </c>
      <c r="R98" s="9">
        <f>X98*'PAG100 FE GE'!$E$2+Y98*'PAG100 FE GE'!$E$3+Z98*'PAG100 FE GE'!$E$4</f>
        <v>2606.2470722399999</v>
      </c>
      <c r="S98" s="9">
        <f>X98*'PAG20 FE GE'!$E$2+Y98*'PAG20 FE GE'!$E$3+Z98*'PAG20 FE GE'!$E$4</f>
        <v>2618.10001152</v>
      </c>
      <c r="T98" s="9">
        <f>X98*'PAG100 FE GE'!$D$2+Y98*'PAG100 FE GE'!$D$3+Z98*'PAG100 FE GE'!$D$4</f>
        <v>2606.1545328000002</v>
      </c>
      <c r="U98" s="9">
        <f>X98*'PAG20 FE GE'!$D$2+Y98*'PAG20 FE GE'!$D$3+Z98*'PAG20 FE GE'!$D$4</f>
        <v>2618.8159368000001</v>
      </c>
      <c r="V98" s="9">
        <f>X98*'PAG100 FE GE'!$C$2+Y98*'PAG100 FE GE'!$C$3+Z98*'PAG100 FE GE'!$C$4</f>
        <v>2605.9608456000005</v>
      </c>
      <c r="W98" s="9">
        <f>X98*'PAG20 FE GE'!$C$2+Y98*'PAG20 FE GE'!$C$3+Z98*'PAG20 FE GE'!$C$4</f>
        <v>2616.2836560000001</v>
      </c>
      <c r="X98" s="9">
        <f t="shared" si="13"/>
        <v>2596.1258400000002</v>
      </c>
      <c r="Y98" s="9">
        <f t="shared" si="13"/>
        <v>0.22238160000000004</v>
      </c>
      <c r="Z98" s="9">
        <f t="shared" si="13"/>
        <v>1.4347200000000003E-2</v>
      </c>
      <c r="AA98" s="9">
        <f>AG98*'PAG100 FE GE'!$E$2+AH98*'PAG100 FE GE'!$E$3+AI98*'PAG100 FE GE'!$E$4</f>
        <v>210.379615</v>
      </c>
      <c r="AB98" s="9">
        <f>AG98*'PAG20 FE GE'!$E$2+AH98*'PAG20 FE GE'!$E$3+AI98*'PAG20 FE GE'!$E$4</f>
        <v>210.45157</v>
      </c>
      <c r="AC98" s="9">
        <f>AG98*'PAG100 FE GE'!$D$2+AH98*'PAG100 FE GE'!$D$3+AI98*'PAG100 FE GE'!$D$4</f>
        <v>210.32254999999998</v>
      </c>
      <c r="AD98" s="9">
        <f>AG98*'PAG20 FE GE'!$D$2+AH98*'PAG20 FE GE'!$D$3+AI98*'PAG20 FE GE'!$D$4</f>
        <v>210.39234999999996</v>
      </c>
      <c r="AE98" s="9">
        <f>AG98*'PAG100 FE GE'!$C$2+AH98*'PAG100 FE GE'!$C$3+AI98*'PAG100 FE GE'!$C$4</f>
        <v>210.55444999999997</v>
      </c>
      <c r="AF98" s="9">
        <f>AG98*'PAG20 FE GE'!$C$2+AH98*'PAG20 FE GE'!$C$3+AI98*'PAG20 FE GE'!$C$4</f>
        <v>210.55354999999997</v>
      </c>
      <c r="AG98" s="6">
        <v>208.39</v>
      </c>
      <c r="AH98" s="6">
        <f>1.35/1000</f>
        <v>1.3500000000000001E-3</v>
      </c>
      <c r="AI98" s="6">
        <f>7.15/1000</f>
        <v>7.1500000000000001E-3</v>
      </c>
      <c r="AJ98" s="11">
        <f>AG98/X98*100</f>
        <v>8.0269606653581924</v>
      </c>
      <c r="AK98" t="s">
        <v>424</v>
      </c>
      <c r="AL98" t="s">
        <v>791</v>
      </c>
    </row>
    <row r="99" spans="1:38" ht="15.75" thickBot="1" x14ac:dyDescent="0.3">
      <c r="A99" s="4" t="s">
        <v>41</v>
      </c>
      <c r="B99" s="7" t="s">
        <v>16</v>
      </c>
      <c r="C99" s="5" t="s">
        <v>42</v>
      </c>
      <c r="D99" s="6" t="s">
        <v>16</v>
      </c>
      <c r="E99" s="6" t="str">
        <f t="shared" si="11"/>
        <v>Ligeiro de Passageiros M1: Geral : Gasolina : Geral</v>
      </c>
      <c r="F99" s="6" t="s">
        <v>55</v>
      </c>
      <c r="G99" s="6" t="s">
        <v>96</v>
      </c>
      <c r="H99" s="9">
        <f>IF(G99="MJ",INDEX(Tabela1[Energia (MJ/Qtd.)],MATCH(C99,Tabela1[Fuel],0)),IF(G99="GJ",INDEX(Tabela1[Energia (GJ/Qtd.)2],MATCH(C99,Tabela1[Fuel],0)),"XXX"))</f>
        <v>3.2827500000000003E-2</v>
      </c>
      <c r="I99" s="9">
        <f>O99*'PAG100 FE GE'!$E$2+P99*'PAG100 FE GE'!$E$3+Q99*'PAG100 FE GE'!$E$4</f>
        <v>75297.100000000006</v>
      </c>
      <c r="J99" s="9">
        <f>O99*'PAG20 FE GE'!$E$2+P99*'PAG20 FE GE'!$E$3+Q99*'PAG20 FE GE'!$E$4</f>
        <v>75297.100000000006</v>
      </c>
      <c r="K99" s="9">
        <f>O99*'PAG100 FE GE'!$D$2+P99*'PAG100 FE GE'!$D$3+Q99*'PAG100 FE GE'!$D$4</f>
        <v>75275.5</v>
      </c>
      <c r="L99" s="9">
        <f>O99*'PAG20 FE GE'!$D$2+P99*'PAG20 FE GE'!$D$3+Q99*'PAG20 FE GE'!$D$4</f>
        <v>75272.800000000003</v>
      </c>
      <c r="M99" s="9">
        <f>O99*'PAG100 FE GE'!$C$2+P99*'PAG100 FE GE'!$C$3+Q99*'PAG100 FE GE'!$C$4</f>
        <v>75364.600000000006</v>
      </c>
      <c r="N99" s="9">
        <f>O99*'PAG20 FE GE'!$C$2+P99*'PAG20 FE GE'!$C$3+Q99*'PAG20 FE GE'!$C$4</f>
        <v>75340.3</v>
      </c>
      <c r="O99" s="16">
        <f>74.56*1000</f>
        <v>74560</v>
      </c>
      <c r="P99" s="16">
        <v>0</v>
      </c>
      <c r="Q99" s="16">
        <f>0.0027*1000</f>
        <v>2.7</v>
      </c>
      <c r="R99" s="9">
        <f>X99*'PAG100 FE GE'!$E$2+Y99*'PAG100 FE GE'!$E$3+Z99*'PAG100 FE GE'!$E$4</f>
        <v>2471.8155502500003</v>
      </c>
      <c r="S99" s="9">
        <f>X99*'PAG20 FE GE'!$E$2+Y99*'PAG20 FE GE'!$E$3+Z99*'PAG20 FE GE'!$E$4</f>
        <v>2471.8155502500003</v>
      </c>
      <c r="T99" s="9">
        <f>X99*'PAG100 FE GE'!$D$2+Y99*'PAG100 FE GE'!$D$3+Z99*'PAG100 FE GE'!$D$4</f>
        <v>2471.1064762500005</v>
      </c>
      <c r="U99" s="9">
        <f>X99*'PAG20 FE GE'!$D$2+Y99*'PAG20 FE GE'!$D$3+Z99*'PAG20 FE GE'!$D$4</f>
        <v>2471.0178420000002</v>
      </c>
      <c r="V99" s="9">
        <f>X99*'PAG100 FE GE'!$C$2+Y99*'PAG100 FE GE'!$C$3+Z99*'PAG100 FE GE'!$C$4</f>
        <v>2474.0314065000002</v>
      </c>
      <c r="W99" s="9">
        <f>X99*'PAG20 FE GE'!$C$2+Y99*'PAG20 FE GE'!$C$3+Z99*'PAG20 FE GE'!$C$4</f>
        <v>2473.2336982500001</v>
      </c>
      <c r="X99" s="9">
        <f t="shared" si="13"/>
        <v>2447.6184000000003</v>
      </c>
      <c r="Y99" s="9">
        <f t="shared" si="13"/>
        <v>0</v>
      </c>
      <c r="Z99" s="9">
        <f t="shared" si="13"/>
        <v>8.8634250000000012E-2</v>
      </c>
      <c r="AA99" s="9">
        <f>AG99*'PAG100 FE GE'!$E$2+AH99*'PAG100 FE GE'!$E$3+AI99*'PAG100 FE GE'!$E$4</f>
        <v>208.83295000000001</v>
      </c>
      <c r="AB99" s="9">
        <f>AG99*'PAG20 FE GE'!$E$2+AH99*'PAG20 FE GE'!$E$3+AI99*'PAG20 FE GE'!$E$4</f>
        <v>210.44794000000002</v>
      </c>
      <c r="AC99" s="9">
        <f>AG99*'PAG100 FE GE'!$D$2+AH99*'PAG100 FE GE'!$D$3+AI99*'PAG100 FE GE'!$D$4</f>
        <v>208.80030000000002</v>
      </c>
      <c r="AD99" s="9">
        <f>AG99*'PAG20 FE GE'!$D$2+AH99*'PAG20 FE GE'!$D$3+AI99*'PAG20 FE GE'!$D$4</f>
        <v>210.52294000000001</v>
      </c>
      <c r="AE99" s="9">
        <f>AG99*'PAG100 FE GE'!$C$2+AH99*'PAG100 FE GE'!$C$3+AI99*'PAG100 FE GE'!$C$4</f>
        <v>208.85658000000001</v>
      </c>
      <c r="AF99" s="9">
        <f>AG99*'PAG20 FE GE'!$C$2+AH99*'PAG20 FE GE'!$C$3+AI99*'PAG20 FE GE'!$C$4</f>
        <v>210.24054000000001</v>
      </c>
      <c r="AG99" s="6">
        <v>206.77</v>
      </c>
      <c r="AH99" s="6">
        <f>30.3/1000</f>
        <v>3.0300000000000001E-2</v>
      </c>
      <c r="AI99" s="6">
        <f>4.46/1000</f>
        <v>4.4599999999999996E-3</v>
      </c>
      <c r="AJ99" s="11">
        <f t="shared" ref="AJ99:AJ103" si="18">AG99/X99*100</f>
        <v>8.447803791636801</v>
      </c>
      <c r="AK99" t="s">
        <v>424</v>
      </c>
      <c r="AL99" t="s">
        <v>791</v>
      </c>
    </row>
    <row r="100" spans="1:38" ht="15.75" thickBot="1" x14ac:dyDescent="0.3">
      <c r="A100" s="4" t="s">
        <v>41</v>
      </c>
      <c r="B100" s="7" t="s">
        <v>16</v>
      </c>
      <c r="C100" s="5" t="s">
        <v>43</v>
      </c>
      <c r="D100" s="6" t="s">
        <v>16</v>
      </c>
      <c r="E100" s="6" t="str">
        <f t="shared" si="11"/>
        <v>Ligeiro de Passageiros M1: Geral : Híbrido Gasolina : Geral</v>
      </c>
      <c r="F100" s="6" t="s">
        <v>55</v>
      </c>
      <c r="G100" s="6" t="s">
        <v>96</v>
      </c>
      <c r="H100" s="9">
        <f>IF(G100="MJ",INDEX(Tabela1[Energia (MJ/Qtd.)],MATCH(C100,Tabela1[Fuel],0)),IF(G100="GJ",INDEX(Tabela1[Energia (GJ/Qtd.)2],MATCH(C100,Tabela1[Fuel],0)),"XXX"))</f>
        <v>3.2827500000000003E-2</v>
      </c>
      <c r="I100" s="9">
        <f>O100*'PAG100 FE GE'!$E$2+P100*'PAG100 FE GE'!$E$3+Q100*'PAG100 FE GE'!$E$4</f>
        <v>73017.58</v>
      </c>
      <c r="J100" s="9">
        <f>O100*'PAG20 FE GE'!$E$2+P100*'PAG20 FE GE'!$E$3+Q100*'PAG20 FE GE'!$E$4</f>
        <v>73561.240000000005</v>
      </c>
      <c r="K100" s="9">
        <f>O100*'PAG100 FE GE'!$D$2+P100*'PAG100 FE GE'!$D$3+Q100*'PAG100 FE GE'!$D$4</f>
        <v>73010.600000000006</v>
      </c>
      <c r="L100" s="9">
        <f>O100*'PAG20 FE GE'!$D$2+P100*'PAG20 FE GE'!$D$3+Q100*'PAG20 FE GE'!$D$4</f>
        <v>73591</v>
      </c>
      <c r="M100" s="9">
        <f>O100*'PAG100 FE GE'!$C$2+P100*'PAG100 FE GE'!$C$3+Q100*'PAG100 FE GE'!$C$4</f>
        <v>73013</v>
      </c>
      <c r="N100" s="9">
        <f>O100*'PAG20 FE GE'!$C$2+P100*'PAG20 FE GE'!$C$3+Q100*'PAG20 FE GE'!$C$4</f>
        <v>73483.399999999994</v>
      </c>
      <c r="O100" s="16">
        <f>72.46*1000</f>
        <v>72460</v>
      </c>
      <c r="P100" s="16">
        <f>0.0102*1000</f>
        <v>10.200000000000001</v>
      </c>
      <c r="Q100" s="16">
        <f>0.001*1000</f>
        <v>1</v>
      </c>
      <c r="R100" s="9">
        <f>X100*'PAG100 FE GE'!$E$2+Y100*'PAG100 FE GE'!$E$3+Z100*'PAG100 FE GE'!$E$4</f>
        <v>2396.9846074500001</v>
      </c>
      <c r="S100" s="9">
        <f>X100*'PAG20 FE GE'!$E$2+Y100*'PAG20 FE GE'!$E$3+Z100*'PAG20 FE GE'!$E$4</f>
        <v>2414.8316061000005</v>
      </c>
      <c r="T100" s="9">
        <f>X100*'PAG100 FE GE'!$D$2+Y100*'PAG100 FE GE'!$D$3+Z100*'PAG100 FE GE'!$D$4</f>
        <v>2396.7554715000001</v>
      </c>
      <c r="U100" s="9">
        <f>X100*'PAG20 FE GE'!$D$2+Y100*'PAG20 FE GE'!$D$3+Z100*'PAG20 FE GE'!$D$4</f>
        <v>2415.8085525000001</v>
      </c>
      <c r="V100" s="9">
        <f>X100*'PAG100 FE GE'!$C$2+Y100*'PAG100 FE GE'!$C$3+Z100*'PAG100 FE GE'!$C$4</f>
        <v>2396.8342575000001</v>
      </c>
      <c r="W100" s="9">
        <f>X100*'PAG20 FE GE'!$C$2+Y100*'PAG20 FE GE'!$C$3+Z100*'PAG20 FE GE'!$C$4</f>
        <v>2412.2763135</v>
      </c>
      <c r="X100" s="9">
        <f t="shared" si="13"/>
        <v>2378.6806500000002</v>
      </c>
      <c r="Y100" s="9">
        <f t="shared" si="13"/>
        <v>0.33484050000000004</v>
      </c>
      <c r="Z100" s="9">
        <f t="shared" si="13"/>
        <v>3.2827500000000003E-2</v>
      </c>
      <c r="AA100" s="9">
        <f>AG100*'PAG100 FE GE'!$E$2+AH100*'PAG100 FE GE'!$E$3+AI100*'PAG100 FE GE'!$E$4</f>
        <v>143.864498</v>
      </c>
      <c r="AB100" s="9">
        <f>AG100*'PAG20 FE GE'!$E$2+AH100*'PAG20 FE GE'!$E$3+AI100*'PAG20 FE GE'!$E$4</f>
        <v>144.92623399999999</v>
      </c>
      <c r="AC100" s="9">
        <f>AG100*'PAG100 FE GE'!$D$2+AH100*'PAG100 FE GE'!$D$3+AI100*'PAG100 FE GE'!$D$4</f>
        <v>143.85040999999998</v>
      </c>
      <c r="AD100" s="9">
        <f>AG100*'PAG20 FE GE'!$D$2+AH100*'PAG20 FE GE'!$D$3+AI100*'PAG20 FE GE'!$D$4</f>
        <v>144.98383999999999</v>
      </c>
      <c r="AE100" s="9">
        <f>AG100*'PAG100 FE GE'!$C$2+AH100*'PAG100 FE GE'!$C$3+AI100*'PAG100 FE GE'!$C$4</f>
        <v>143.85697999999999</v>
      </c>
      <c r="AF100" s="9">
        <f>AG100*'PAG20 FE GE'!$C$2+AH100*'PAG20 FE GE'!$C$3+AI100*'PAG20 FE GE'!$C$4</f>
        <v>144.77512999999999</v>
      </c>
      <c r="AG100" s="6">
        <v>142.76</v>
      </c>
      <c r="AH100" s="6">
        <f>19.92/1000</f>
        <v>1.992E-2</v>
      </c>
      <c r="AI100" s="6">
        <f>2.01/1000</f>
        <v>2.0099999999999996E-3</v>
      </c>
      <c r="AJ100" s="11">
        <f t="shared" si="18"/>
        <v>6.0016463328105845</v>
      </c>
      <c r="AK100" t="s">
        <v>424</v>
      </c>
      <c r="AL100" t="s">
        <v>791</v>
      </c>
    </row>
    <row r="101" spans="1:38" ht="15.75" thickBot="1" x14ac:dyDescent="0.3">
      <c r="A101" s="4" t="s">
        <v>41</v>
      </c>
      <c r="B101" s="7" t="s">
        <v>16</v>
      </c>
      <c r="C101" s="5" t="s">
        <v>44</v>
      </c>
      <c r="D101" s="6" t="s">
        <v>16</v>
      </c>
      <c r="E101" s="6" t="str">
        <f t="shared" si="11"/>
        <v>Ligeiro de Passageiros M1: Geral : GPL : Geral</v>
      </c>
      <c r="F101" s="6" t="s">
        <v>57</v>
      </c>
      <c r="G101" s="6" t="s">
        <v>96</v>
      </c>
      <c r="H101" s="9">
        <f>IF(G101="MJ",INDEX(Tabela1[Energia (MJ/Qtd.)],MATCH(C101,Tabela1[Fuel],0)),IF(G101="GJ",INDEX(Tabela1[Energia (GJ/Qtd.)2],MATCH(C101,Tabela1[Fuel],0)),"XXX"))</f>
        <v>4.6560000000000004E-2</v>
      </c>
      <c r="I101" s="9">
        <f>O101*'PAG100 FE GE'!$E$2+P101*'PAG100 FE GE'!$E$3+Q101*'PAG100 FE GE'!$E$4</f>
        <v>65419.139999999992</v>
      </c>
      <c r="J101" s="9">
        <f>O101*'PAG20 FE GE'!$E$2+P101*'PAG20 FE GE'!$E$3+Q101*'PAG20 FE GE'!$E$4</f>
        <v>65877.51999999999</v>
      </c>
      <c r="K101" s="9">
        <f>O101*'PAG100 FE GE'!$D$2+P101*'PAG100 FE GE'!$D$3+Q101*'PAG100 FE GE'!$D$4</f>
        <v>65416.799999999996</v>
      </c>
      <c r="L101" s="9">
        <f>O101*'PAG20 FE GE'!$D$2+P101*'PAG20 FE GE'!$D$3+Q101*'PAG20 FE GE'!$D$4</f>
        <v>65906.600000000006</v>
      </c>
      <c r="M101" s="9">
        <f>O101*'PAG100 FE GE'!$C$2+P101*'PAG100 FE GE'!$C$3+Q101*'PAG100 FE GE'!$C$4</f>
        <v>65404.19999999999</v>
      </c>
      <c r="N101" s="9">
        <f>O101*'PAG20 FE GE'!$C$2+P101*'PAG20 FE GE'!$C$3+Q101*'PAG20 FE GE'!$C$4</f>
        <v>65804.800000000003</v>
      </c>
      <c r="O101" s="16">
        <f>65.07*1000</f>
        <v>65069.999999999993</v>
      </c>
      <c r="P101" s="16">
        <f>0.0086*1000</f>
        <v>8.6</v>
      </c>
      <c r="Q101" s="16">
        <f>0.0004*1000</f>
        <v>0.4</v>
      </c>
      <c r="R101" s="9">
        <f>X101*'PAG100 FE GE'!$E$2+Y101*'PAG100 FE GE'!$E$3+Z101*'PAG100 FE GE'!$E$4</f>
        <v>3045.9151584000001</v>
      </c>
      <c r="S101" s="9">
        <f>X101*'PAG20 FE GE'!$E$2+Y101*'PAG20 FE GE'!$E$3+Z101*'PAG20 FE GE'!$E$4</f>
        <v>3067.2573312</v>
      </c>
      <c r="T101" s="9">
        <f>X101*'PAG100 FE GE'!$D$2+Y101*'PAG100 FE GE'!$D$3+Z101*'PAG100 FE GE'!$D$4</f>
        <v>3045.806208</v>
      </c>
      <c r="U101" s="9">
        <f>X101*'PAG20 FE GE'!$D$2+Y101*'PAG20 FE GE'!$D$3+Z101*'PAG20 FE GE'!$D$4</f>
        <v>3068.611296</v>
      </c>
      <c r="V101" s="9">
        <f>X101*'PAG100 FE GE'!$C$2+Y101*'PAG100 FE GE'!$C$3+Z101*'PAG100 FE GE'!$C$4</f>
        <v>3045.219552</v>
      </c>
      <c r="W101" s="9">
        <f>X101*'PAG20 FE GE'!$C$2+Y101*'PAG20 FE GE'!$C$3+Z101*'PAG20 FE GE'!$C$4</f>
        <v>3063.8714880000002</v>
      </c>
      <c r="X101" s="9">
        <f t="shared" si="13"/>
        <v>3029.6592000000001</v>
      </c>
      <c r="Y101" s="9">
        <f t="shared" si="13"/>
        <v>0.40041599999999999</v>
      </c>
      <c r="Z101" s="9">
        <f t="shared" si="13"/>
        <v>1.8624000000000002E-2</v>
      </c>
      <c r="AA101" s="9">
        <f>AG101*'PAG100 FE GE'!$E$2+AH101*'PAG100 FE GE'!$E$3+AI101*'PAG100 FE GE'!$E$4</f>
        <v>192.969481</v>
      </c>
      <c r="AB101" s="9">
        <f>AG101*'PAG20 FE GE'!$E$2+AH101*'PAG20 FE GE'!$E$3+AI101*'PAG20 FE GE'!$E$4</f>
        <v>194.802468</v>
      </c>
      <c r="AC101" s="9">
        <f>AG101*'PAG100 FE GE'!$D$2+AH101*'PAG100 FE GE'!$D$3+AI101*'PAG100 FE GE'!$D$4</f>
        <v>192.97291999999999</v>
      </c>
      <c r="AD101" s="9">
        <f>AG101*'PAG20 FE GE'!$D$2+AH101*'PAG20 FE GE'!$D$3+AI101*'PAG20 FE GE'!$D$4</f>
        <v>194.93314999999998</v>
      </c>
      <c r="AE101" s="9">
        <f>AG101*'PAG100 FE GE'!$C$2+AH101*'PAG100 FE GE'!$C$3+AI101*'PAG100 FE GE'!$C$4</f>
        <v>192.86974999999998</v>
      </c>
      <c r="AF101" s="9">
        <f>AG101*'PAG20 FE GE'!$C$2+AH101*'PAG20 FE GE'!$C$3+AI101*'PAG20 FE GE'!$C$4</f>
        <v>194.48607999999999</v>
      </c>
      <c r="AG101" s="6">
        <v>192.01</v>
      </c>
      <c r="AH101" s="6">
        <f>34.39/1000</f>
        <v>3.4390000000000004E-2</v>
      </c>
      <c r="AI101" s="6">
        <v>0</v>
      </c>
      <c r="AJ101" s="11">
        <f t="shared" si="18"/>
        <v>6.3376765281058667</v>
      </c>
      <c r="AK101" t="s">
        <v>424</v>
      </c>
      <c r="AL101" t="s">
        <v>791</v>
      </c>
    </row>
    <row r="102" spans="1:38" ht="15.75" thickBot="1" x14ac:dyDescent="0.3">
      <c r="A102" s="4" t="s">
        <v>45</v>
      </c>
      <c r="B102" s="7" t="s">
        <v>16</v>
      </c>
      <c r="C102" s="5" t="s">
        <v>3</v>
      </c>
      <c r="D102" s="6" t="s">
        <v>16</v>
      </c>
      <c r="E102" s="6" t="str">
        <f t="shared" si="11"/>
        <v>Ligeiro de Mercadorias N1: Geral : Gasóleo : Geral</v>
      </c>
      <c r="F102" s="6" t="s">
        <v>55</v>
      </c>
      <c r="G102" s="6" t="s">
        <v>96</v>
      </c>
      <c r="H102" s="9">
        <f>IF(G102="MJ",INDEX(Tabela1[Energia (MJ/Qtd.)],MATCH(C102,Tabela1[Fuel],0)),IF(G102="GJ",INDEX(Tabela1[Energia (GJ/Qtd.)2],MATCH(C102,Tabela1[Fuel],0)),"XXX"))</f>
        <v>3.5868000000000004E-2</v>
      </c>
      <c r="I102" s="9">
        <f>O102*'PAG100 FE GE'!$E$2+P102*'PAG100 FE GE'!$E$3+Q102*'PAG100 FE GE'!$E$4</f>
        <v>72693.34</v>
      </c>
      <c r="J102" s="9">
        <f>O102*'PAG20 FE GE'!$E$2+P102*'PAG20 FE GE'!$E$3+Q102*'PAG20 FE GE'!$E$4</f>
        <v>73045.119999999995</v>
      </c>
      <c r="K102" s="9">
        <f>O102*'PAG100 FE GE'!$D$2+P102*'PAG100 FE GE'!$D$3+Q102*'PAG100 FE GE'!$D$4</f>
        <v>72690.8</v>
      </c>
      <c r="L102" s="9">
        <f>O102*'PAG20 FE GE'!$D$2+P102*'PAG20 FE GE'!$D$3+Q102*'PAG20 FE GE'!$D$4</f>
        <v>73066.600000000006</v>
      </c>
      <c r="M102" s="9">
        <f>O102*'PAG100 FE GE'!$C$2+P102*'PAG100 FE GE'!$C$3+Q102*'PAG100 FE GE'!$C$4</f>
        <v>72684.2</v>
      </c>
      <c r="N102" s="9">
        <f>O102*'PAG20 FE GE'!$C$2+P102*'PAG20 FE GE'!$C$3+Q102*'PAG20 FE GE'!$C$4</f>
        <v>72990.8</v>
      </c>
      <c r="O102" s="16">
        <f>72.4*1000</f>
        <v>72400</v>
      </c>
      <c r="P102" s="16">
        <f>0.0066*1000</f>
        <v>6.6</v>
      </c>
      <c r="Q102" s="16">
        <f>0.0004*1000</f>
        <v>0.4</v>
      </c>
      <c r="R102" s="9">
        <f>X102*'PAG100 FE GE'!$E$2+Y102*'PAG100 FE GE'!$E$3+Z102*'PAG100 FE GE'!$E$4</f>
        <v>2607.3647191200002</v>
      </c>
      <c r="S102" s="9">
        <f>X102*'PAG20 FE GE'!$E$2+Y102*'PAG20 FE GE'!$E$3+Z102*'PAG20 FE GE'!$E$4</f>
        <v>2619.9823641600001</v>
      </c>
      <c r="T102" s="9">
        <f>X102*'PAG100 FE GE'!$D$2+Y102*'PAG100 FE GE'!$D$3+Z102*'PAG100 FE GE'!$D$4</f>
        <v>2607.2736144000005</v>
      </c>
      <c r="U102" s="9">
        <f>X102*'PAG20 FE GE'!$D$2+Y102*'PAG20 FE GE'!$D$3+Z102*'PAG20 FE GE'!$D$4</f>
        <v>2620.7528088000004</v>
      </c>
      <c r="V102" s="9">
        <f>X102*'PAG100 FE GE'!$C$2+Y102*'PAG100 FE GE'!$C$3+Z102*'PAG100 FE GE'!$C$4</f>
        <v>2607.0368856000005</v>
      </c>
      <c r="W102" s="9">
        <f>X102*'PAG20 FE GE'!$C$2+Y102*'PAG20 FE GE'!$C$3+Z102*'PAG20 FE GE'!$C$4</f>
        <v>2618.0340144000002</v>
      </c>
      <c r="X102" s="9">
        <f t="shared" si="13"/>
        <v>2596.8432000000003</v>
      </c>
      <c r="Y102" s="9">
        <f t="shared" si="13"/>
        <v>0.23672880000000002</v>
      </c>
      <c r="Z102" s="9">
        <f t="shared" si="13"/>
        <v>1.4347200000000003E-2</v>
      </c>
      <c r="AA102" s="9">
        <f>AG102*'PAG100 FE GE'!$E$2+AH102*'PAG100 FE GE'!$E$3+AI102*'PAG100 FE GE'!$E$4</f>
        <v>247.87179</v>
      </c>
      <c r="AB102" s="9">
        <f>AG102*'PAG20 FE GE'!$E$2+AH102*'PAG20 FE GE'!$E$3+AI102*'PAG20 FE GE'!$E$4</f>
        <v>248.03169</v>
      </c>
      <c r="AC102" s="9">
        <f>AG102*'PAG100 FE GE'!$D$2+AH102*'PAG100 FE GE'!$D$3+AI102*'PAG100 FE GE'!$D$4</f>
        <v>247.82145</v>
      </c>
      <c r="AD102" s="9">
        <f>AG102*'PAG20 FE GE'!$D$2+AH102*'PAG20 FE GE'!$D$3+AI102*'PAG20 FE GE'!$D$4</f>
        <v>247.98612</v>
      </c>
      <c r="AE102" s="9">
        <f>AG102*'PAG100 FE GE'!$C$2+AH102*'PAG100 FE GE'!$C$3+AI102*'PAG100 FE GE'!$C$4</f>
        <v>248.02133999999998</v>
      </c>
      <c r="AF102" s="9">
        <f>AG102*'PAG20 FE GE'!$C$2+AH102*'PAG20 FE GE'!$C$3+AI102*'PAG20 FE GE'!$C$4</f>
        <v>248.10537000000002</v>
      </c>
      <c r="AG102" s="6">
        <v>246.06</v>
      </c>
      <c r="AH102" s="6">
        <f>3/1000</f>
        <v>3.0000000000000001E-3</v>
      </c>
      <c r="AI102" s="6">
        <f>6.33/1000</f>
        <v>6.3299999999999997E-3</v>
      </c>
      <c r="AJ102" s="11">
        <f t="shared" si="18"/>
        <v>9.4753506873268272</v>
      </c>
      <c r="AK102" t="s">
        <v>424</v>
      </c>
      <c r="AL102" t="s">
        <v>791</v>
      </c>
    </row>
    <row r="103" spans="1:38" ht="15.75" thickBot="1" x14ac:dyDescent="0.3">
      <c r="A103" s="4" t="s">
        <v>45</v>
      </c>
      <c r="B103" s="7" t="s">
        <v>16</v>
      </c>
      <c r="C103" s="5" t="s">
        <v>42</v>
      </c>
      <c r="D103" s="6" t="s">
        <v>16</v>
      </c>
      <c r="E103" s="6" t="str">
        <f t="shared" si="11"/>
        <v>Ligeiro de Mercadorias N1: Geral : Gasolina : Geral</v>
      </c>
      <c r="F103" s="6" t="s">
        <v>55</v>
      </c>
      <c r="G103" s="6" t="s">
        <v>96</v>
      </c>
      <c r="H103" s="9">
        <f>IF(G103="MJ",INDEX(Tabela1[Energia (MJ/Qtd.)],MATCH(C103,Tabela1[Fuel],0)),IF(G103="GJ",INDEX(Tabela1[Energia (GJ/Qtd.)2],MATCH(C103,Tabela1[Fuel],0)),"XXX"))</f>
        <v>3.2827500000000003E-2</v>
      </c>
      <c r="I103" s="9">
        <f>O103*'PAG100 FE GE'!$E$2+P103*'PAG100 FE GE'!$E$3+Q103*'PAG100 FE GE'!$E$4</f>
        <v>75297.100000000006</v>
      </c>
      <c r="J103" s="9">
        <f>O103*'PAG20 FE GE'!$E$2+P103*'PAG20 FE GE'!$E$3+Q103*'PAG20 FE GE'!$E$4</f>
        <v>75297.100000000006</v>
      </c>
      <c r="K103" s="9">
        <f>O103*'PAG100 FE GE'!$D$2+P103*'PAG100 FE GE'!$D$3+Q103*'PAG100 FE GE'!$D$4</f>
        <v>75275.5</v>
      </c>
      <c r="L103" s="9">
        <f>O103*'PAG20 FE GE'!$D$2+P103*'PAG20 FE GE'!$D$3+Q103*'PAG20 FE GE'!$D$4</f>
        <v>75272.800000000003</v>
      </c>
      <c r="M103" s="9">
        <f>O103*'PAG100 FE GE'!$C$2+P103*'PAG100 FE GE'!$C$3+Q103*'PAG100 FE GE'!$C$4</f>
        <v>75364.600000000006</v>
      </c>
      <c r="N103" s="9">
        <f>O103*'PAG20 FE GE'!$C$2+P103*'PAG20 FE GE'!$C$3+Q103*'PAG20 FE GE'!$C$4</f>
        <v>75340.3</v>
      </c>
      <c r="O103" s="16">
        <f>74.56*1000</f>
        <v>74560</v>
      </c>
      <c r="P103" s="16">
        <v>0</v>
      </c>
      <c r="Q103" s="16">
        <f>0.0027*1000</f>
        <v>2.7</v>
      </c>
      <c r="R103" s="9">
        <f>X103*'PAG100 FE GE'!$E$2+Y103*'PAG100 FE GE'!$E$3+Z103*'PAG100 FE GE'!$E$4</f>
        <v>2471.8155502500003</v>
      </c>
      <c r="S103" s="9">
        <f>X103*'PAG20 FE GE'!$E$2+Y103*'PAG20 FE GE'!$E$3+Z103*'PAG20 FE GE'!$E$4</f>
        <v>2471.8155502500003</v>
      </c>
      <c r="T103" s="9">
        <f>X103*'PAG100 FE GE'!$D$2+Y103*'PAG100 FE GE'!$D$3+Z103*'PAG100 FE GE'!$D$4</f>
        <v>2471.1064762500005</v>
      </c>
      <c r="U103" s="9">
        <f>X103*'PAG20 FE GE'!$D$2+Y103*'PAG20 FE GE'!$D$3+Z103*'PAG20 FE GE'!$D$4</f>
        <v>2471.0178420000002</v>
      </c>
      <c r="V103" s="9">
        <f>X103*'PAG100 FE GE'!$C$2+Y103*'PAG100 FE GE'!$C$3+Z103*'PAG100 FE GE'!$C$4</f>
        <v>2474.0314065000002</v>
      </c>
      <c r="W103" s="9">
        <f>X103*'PAG20 FE GE'!$C$2+Y103*'PAG20 FE GE'!$C$3+Z103*'PAG20 FE GE'!$C$4</f>
        <v>2473.2336982500001</v>
      </c>
      <c r="X103" s="9">
        <f t="shared" si="13"/>
        <v>2447.6184000000003</v>
      </c>
      <c r="Y103" s="9">
        <f t="shared" si="13"/>
        <v>0</v>
      </c>
      <c r="Z103" s="9">
        <f t="shared" si="13"/>
        <v>8.8634250000000012E-2</v>
      </c>
      <c r="AA103" s="9">
        <f>AG103*'PAG100 FE GE'!$E$2+AH103*'PAG100 FE GE'!$E$3+AI103*'PAG100 FE GE'!$E$4</f>
        <v>274.826819</v>
      </c>
      <c r="AB103" s="9">
        <f>AG103*'PAG20 FE GE'!$E$2+AH103*'PAG20 FE GE'!$E$3+AI103*'PAG20 FE GE'!$E$4</f>
        <v>279.55506200000002</v>
      </c>
      <c r="AC103" s="9">
        <f>AG103*'PAG100 FE GE'!$D$2+AH103*'PAG100 FE GE'!$D$3+AI103*'PAG100 FE GE'!$D$4</f>
        <v>274.75592999999998</v>
      </c>
      <c r="AD103" s="9">
        <f>AG103*'PAG20 FE GE'!$D$2+AH103*'PAG20 FE GE'!$D$3+AI103*'PAG20 FE GE'!$D$4</f>
        <v>279.80242999999996</v>
      </c>
      <c r="AE103" s="9">
        <f>AG103*'PAG100 FE GE'!$C$2+AH103*'PAG100 FE GE'!$C$3+AI103*'PAG100 FE GE'!$C$4</f>
        <v>274.81881000000004</v>
      </c>
      <c r="AF103" s="9">
        <f>AG103*'PAG20 FE GE'!$C$2+AH103*'PAG20 FE GE'!$C$3+AI103*'PAG20 FE GE'!$C$4</f>
        <v>278.89844999999997</v>
      </c>
      <c r="AG103" s="6">
        <v>269.63</v>
      </c>
      <c r="AH103" s="6">
        <f>88.71/1000</f>
        <v>8.8709999999999997E-2</v>
      </c>
      <c r="AI103" s="6">
        <f>9.97/1000</f>
        <v>9.9700000000000014E-3</v>
      </c>
      <c r="AJ103" s="11">
        <f t="shared" si="18"/>
        <v>11.01601458789491</v>
      </c>
      <c r="AK103" t="s">
        <v>424</v>
      </c>
      <c r="AL103" t="s">
        <v>791</v>
      </c>
    </row>
    <row r="104" spans="1:38" ht="15.75" thickBot="1" x14ac:dyDescent="0.3">
      <c r="A104" s="4" t="s">
        <v>46</v>
      </c>
      <c r="B104" s="7" t="s">
        <v>16</v>
      </c>
      <c r="C104" s="5" t="s">
        <v>3</v>
      </c>
      <c r="D104" s="6" t="s">
        <v>16</v>
      </c>
      <c r="E104" s="6" t="str">
        <f t="shared" si="11"/>
        <v>Pesado de Mercadorias N3: Geral : Gasóleo : Geral</v>
      </c>
      <c r="F104" s="6" t="s">
        <v>55</v>
      </c>
      <c r="G104" s="6" t="s">
        <v>96</v>
      </c>
      <c r="H104" s="9">
        <f>IF(G104="MJ",INDEX(Tabela1[Energia (MJ/Qtd.)],MATCH(C104,Tabela1[Fuel],0)),IF(G104="GJ",INDEX(Tabela1[Energia (GJ/Qtd.)2],MATCH(C104,Tabela1[Fuel],0)),"XXX"))</f>
        <v>3.5868000000000004E-2</v>
      </c>
      <c r="I104" s="17">
        <f>O104*'PAG100 FE GE'!$E$2+P104*'PAG100 FE GE'!$E$3+Q104*'PAG100 FE GE'!$E$4</f>
        <v>-301.89999999999998</v>
      </c>
      <c r="J104" s="17">
        <f>O104*'PAG20 FE GE'!$E$2+P104*'PAG20 FE GE'!$E$3+Q104*'PAG20 FE GE'!$E$4</f>
        <v>-355.2</v>
      </c>
      <c r="K104" s="17">
        <f>O104*'PAG100 FE GE'!$D$2+P104*'PAG100 FE GE'!$D$3+Q104*'PAG100 FE GE'!$D$4</f>
        <v>-294</v>
      </c>
      <c r="L104" s="17">
        <f>O104*'PAG20 FE GE'!$D$2+P104*'PAG20 FE GE'!$D$3+Q104*'PAG20 FE GE'!$D$4</f>
        <v>-350</v>
      </c>
      <c r="M104" s="17">
        <f>O104*'PAG100 FE GE'!$C$2+P104*'PAG100 FE GE'!$C$3+Q104*'PAG100 FE GE'!$C$4</f>
        <v>-324</v>
      </c>
      <c r="N104" s="17">
        <f>O104*'PAG20 FE GE'!$C$2+P104*'PAG20 FE GE'!$C$3+Q104*'PAG20 FE GE'!$C$4</f>
        <v>-362</v>
      </c>
      <c r="O104" s="16">
        <v>-1</v>
      </c>
      <c r="P104" s="16">
        <v>-1</v>
      </c>
      <c r="Q104" s="16">
        <v>-1</v>
      </c>
      <c r="R104" s="9">
        <f>X104*'PAG100 FE GE'!$E$2+Y104*'PAG100 FE GE'!$E$3+Z104*'PAG100 FE GE'!$E$4</f>
        <v>-301.89999999999998</v>
      </c>
      <c r="S104" s="9">
        <f>X104*'PAG20 FE GE'!$E$2+Y104*'PAG20 FE GE'!$E$3+Z104*'PAG20 FE GE'!$E$4</f>
        <v>-355.2</v>
      </c>
      <c r="T104" s="9">
        <f>X104*'PAG100 FE GE'!$D$2+Y104*'PAG100 FE GE'!$D$3+Z104*'PAG100 FE GE'!$D$4</f>
        <v>-294</v>
      </c>
      <c r="U104" s="9">
        <f>X104*'PAG20 FE GE'!$D$2+Y104*'PAG20 FE GE'!$D$3+Z104*'PAG20 FE GE'!$D$4</f>
        <v>-350</v>
      </c>
      <c r="V104" s="9">
        <f>X104*'PAG100 FE GE'!$C$2+Y104*'PAG100 FE GE'!$C$3+Z104*'PAG100 FE GE'!$C$4</f>
        <v>-324</v>
      </c>
      <c r="W104" s="9">
        <f>X104*'PAG20 FE GE'!$C$2+Y104*'PAG20 FE GE'!$C$3+Z104*'PAG20 FE GE'!$C$4</f>
        <v>-362</v>
      </c>
      <c r="X104" s="16">
        <v>-1</v>
      </c>
      <c r="Y104" s="16">
        <v>-1</v>
      </c>
      <c r="Z104" s="16">
        <v>-1</v>
      </c>
      <c r="AA104" s="9">
        <f>AG104*'PAG100 FE GE'!$E$2+AH104*'PAG100 FE GE'!$E$3+AI104*'PAG100 FE GE'!$E$4</f>
        <v>616.02121199999999</v>
      </c>
      <c r="AB104" s="9">
        <f>AG104*'PAG20 FE GE'!$E$2+AH104*'PAG20 FE GE'!$E$3+AI104*'PAG20 FE GE'!$E$4</f>
        <v>617.26203600000008</v>
      </c>
      <c r="AC104" s="9">
        <f>AG104*'PAG100 FE GE'!$D$2+AH104*'PAG100 FE GE'!$D$3+AI104*'PAG100 FE GE'!$D$4</f>
        <v>615.84033999999997</v>
      </c>
      <c r="AD104" s="9">
        <f>AG104*'PAG20 FE GE'!$D$2+AH104*'PAG20 FE GE'!$D$3+AI104*'PAG20 FE GE'!$D$4</f>
        <v>617.14440000000002</v>
      </c>
      <c r="AE104" s="9">
        <f>AG104*'PAG100 FE GE'!$C$2+AH104*'PAG100 FE GE'!$C$3+AI104*'PAG100 FE GE'!$C$4</f>
        <v>616.52620000000002</v>
      </c>
      <c r="AF104" s="9">
        <f>AG104*'PAG20 FE GE'!$C$2+AH104*'PAG20 FE GE'!$C$3+AI104*'PAG20 FE GE'!$C$4</f>
        <v>617.41426000000001</v>
      </c>
      <c r="AG104" s="6">
        <v>609.12</v>
      </c>
      <c r="AH104" s="6">
        <f>23.28/1000</f>
        <v>2.3280000000000002E-2</v>
      </c>
      <c r="AI104" s="6">
        <f>22.9/1000</f>
        <v>2.29E-2</v>
      </c>
      <c r="AJ104" s="27">
        <v>-1</v>
      </c>
      <c r="AK104" t="s">
        <v>424</v>
      </c>
      <c r="AL104" t="s">
        <v>791</v>
      </c>
    </row>
    <row r="105" spans="1:38" ht="15.75" thickBot="1" x14ac:dyDescent="0.3">
      <c r="A105" s="4" t="s">
        <v>2</v>
      </c>
      <c r="B105" s="7" t="s">
        <v>16</v>
      </c>
      <c r="C105" s="5" t="s">
        <v>3</v>
      </c>
      <c r="D105" s="6" t="s">
        <v>16</v>
      </c>
      <c r="E105" s="6" t="str">
        <f t="shared" si="11"/>
        <v>Pesado de Passageiros M3: Geral : Gasóleo : Geral</v>
      </c>
      <c r="F105" s="6" t="s">
        <v>55</v>
      </c>
      <c r="G105" s="6" t="s">
        <v>96</v>
      </c>
      <c r="H105" s="9">
        <f>IF(G105="MJ",INDEX(Tabela1[Energia (MJ/Qtd.)],MATCH(C105,Tabela1[Fuel],0)),IF(G105="GJ",INDEX(Tabela1[Energia (GJ/Qtd.)2],MATCH(C105,Tabela1[Fuel],0)),"XXX"))</f>
        <v>3.5868000000000004E-2</v>
      </c>
      <c r="I105" s="17">
        <f>O105*'PAG100 FE GE'!$E$2+P105*'PAG100 FE GE'!$E$3+Q105*'PAG100 FE GE'!$E$4</f>
        <v>-301.89999999999998</v>
      </c>
      <c r="J105" s="17">
        <f>O105*'PAG20 FE GE'!$E$2+P105*'PAG20 FE GE'!$E$3+Q105*'PAG20 FE GE'!$E$4</f>
        <v>-355.2</v>
      </c>
      <c r="K105" s="17">
        <f>O105*'PAG100 FE GE'!$D$2+P105*'PAG100 FE GE'!$D$3+Q105*'PAG100 FE GE'!$D$4</f>
        <v>-294</v>
      </c>
      <c r="L105" s="17">
        <f>O105*'PAG20 FE GE'!$D$2+P105*'PAG20 FE GE'!$D$3+Q105*'PAG20 FE GE'!$D$4</f>
        <v>-350</v>
      </c>
      <c r="M105" s="17">
        <f>O105*'PAG100 FE GE'!$C$2+P105*'PAG100 FE GE'!$C$3+Q105*'PAG100 FE GE'!$C$4</f>
        <v>-324</v>
      </c>
      <c r="N105" s="17">
        <f>O105*'PAG20 FE GE'!$C$2+P105*'PAG20 FE GE'!$C$3+Q105*'PAG20 FE GE'!$C$4</f>
        <v>-362</v>
      </c>
      <c r="O105" s="16">
        <v>-1</v>
      </c>
      <c r="P105" s="16">
        <v>-1</v>
      </c>
      <c r="Q105" s="16">
        <v>-1</v>
      </c>
      <c r="R105" s="9">
        <f>X105*'PAG100 FE GE'!$E$2+Y105*'PAG100 FE GE'!$E$3+Z105*'PAG100 FE GE'!$E$4</f>
        <v>-301.89999999999998</v>
      </c>
      <c r="S105" s="9">
        <f>X105*'PAG20 FE GE'!$E$2+Y105*'PAG20 FE GE'!$E$3+Z105*'PAG20 FE GE'!$E$4</f>
        <v>-355.2</v>
      </c>
      <c r="T105" s="9">
        <f>X105*'PAG100 FE GE'!$D$2+Y105*'PAG100 FE GE'!$D$3+Z105*'PAG100 FE GE'!$D$4</f>
        <v>-294</v>
      </c>
      <c r="U105" s="9">
        <f>X105*'PAG20 FE GE'!$D$2+Y105*'PAG20 FE GE'!$D$3+Z105*'PAG20 FE GE'!$D$4</f>
        <v>-350</v>
      </c>
      <c r="V105" s="9">
        <f>X105*'PAG100 FE GE'!$C$2+Y105*'PAG100 FE GE'!$C$3+Z105*'PAG100 FE GE'!$C$4</f>
        <v>-324</v>
      </c>
      <c r="W105" s="9">
        <f>X105*'PAG20 FE GE'!$C$2+Y105*'PAG20 FE GE'!$C$3+Z105*'PAG20 FE GE'!$C$4</f>
        <v>-362</v>
      </c>
      <c r="X105" s="16">
        <v>-1</v>
      </c>
      <c r="Y105" s="16">
        <v>-1</v>
      </c>
      <c r="Z105" s="16">
        <v>-1</v>
      </c>
      <c r="AA105" s="9">
        <f>AG105*'PAG100 FE GE'!$E$2+AH105*'PAG100 FE GE'!$E$3+AI105*'PAG100 FE GE'!$E$4</f>
        <v>1305.299906</v>
      </c>
      <c r="AB105" s="9">
        <f>AG105*'PAG20 FE GE'!$E$2+AH105*'PAG20 FE GE'!$E$3+AI105*'PAG20 FE GE'!$E$4</f>
        <v>1307.913738</v>
      </c>
      <c r="AC105" s="9">
        <f>AG105*'PAG100 FE GE'!$D$2+AH105*'PAG100 FE GE'!$D$3+AI105*'PAG100 FE GE'!$D$4</f>
        <v>1305.1485699999998</v>
      </c>
      <c r="AD105" s="9">
        <f>AG105*'PAG20 FE GE'!$D$2+AH105*'PAG20 FE GE'!$D$3+AI105*'PAG20 FE GE'!$D$4</f>
        <v>1307.9243199999999</v>
      </c>
      <c r="AE105" s="9">
        <f>AG105*'PAG100 FE GE'!$C$2+AH105*'PAG100 FE GE'!$C$3+AI105*'PAG100 FE GE'!$C$4</f>
        <v>1305.6459400000001</v>
      </c>
      <c r="AF105" s="9">
        <f>AG105*'PAG20 FE GE'!$C$2+AH105*'PAG20 FE GE'!$C$3+AI105*'PAG20 FE GE'!$C$4</f>
        <v>1307.77505</v>
      </c>
      <c r="AG105" s="6">
        <v>1298.5999999999999</v>
      </c>
      <c r="AH105" s="6">
        <f>49.04/1000</f>
        <v>4.904E-2</v>
      </c>
      <c r="AI105" s="6">
        <f>19.53/1000</f>
        <v>1.9530000000000002E-2</v>
      </c>
      <c r="AJ105" s="27">
        <v>-1</v>
      </c>
      <c r="AK105" t="s">
        <v>424</v>
      </c>
      <c r="AL105" t="s">
        <v>791</v>
      </c>
    </row>
    <row r="106" spans="1:38" ht="15.75" thickBot="1" x14ac:dyDescent="0.3">
      <c r="A106" t="s">
        <v>2</v>
      </c>
      <c r="B106" t="s">
        <v>13</v>
      </c>
      <c r="C106" t="s">
        <v>3</v>
      </c>
      <c r="D106" t="s">
        <v>16</v>
      </c>
      <c r="E106" t="s">
        <v>781</v>
      </c>
      <c r="F106" s="6" t="s">
        <v>55</v>
      </c>
      <c r="G106" s="6" t="s">
        <v>96</v>
      </c>
      <c r="H106" s="9">
        <f>IF(G106="MJ",INDEX(Tabela1[Energia (MJ/Qtd.)],MATCH(C106,Tabela1[Fuel],0)),IF(G106="GJ",INDEX(Tabela1[Energia (GJ/Qtd.)2],MATCH(C106,Tabela1[Fuel],0)),"XXX"))</f>
        <v>3.5868000000000004E-2</v>
      </c>
      <c r="I106" s="213">
        <f>SUMPRODUCT(I2:I9,'NIR APA vkm'!$K$2:$K$9)</f>
        <v>75001.514930501187</v>
      </c>
      <c r="J106" s="213">
        <f>SUMPRODUCT(J2:J9,'NIR APA vkm'!$K$2:$K$9)</f>
        <v>75145.601432307856</v>
      </c>
      <c r="K106" s="213">
        <f>SUMPRODUCT(K2:K9,'NIR APA vkm'!$K$2:$K$9)</f>
        <v>74993.197523824856</v>
      </c>
      <c r="L106" s="213">
        <f>SUMPRODUCT(L2:L9,'NIR APA vkm'!$K$2:$K$9)</f>
        <v>75146.212810874131</v>
      </c>
      <c r="M106" s="213">
        <f>SUMPRODUCT(M2:M9,'NIR APA vkm'!$K$2:$K$9)</f>
        <v>75020.512007914003</v>
      </c>
      <c r="N106" s="213">
        <f>SUMPRODUCT(N2:N9,'NIR APA vkm'!$K$2:$K$9)</f>
        <v>75137.906442353604</v>
      </c>
      <c r="O106" s="213">
        <f>SUMPRODUCT(O2:O9,'NIR APA vkm'!$K$2:$K$9)</f>
        <v>74633.035986999035</v>
      </c>
      <c r="P106" s="213">
        <f>SUMPRODUCT(P2:P9,'NIR APA vkm'!$K$2:$K$9)</f>
        <v>2.7033114785491952</v>
      </c>
      <c r="Q106" s="213">
        <f>SUMPRODUCT(Q2:Q9,'NIR APA vkm'!$K$2:$K$9)</f>
        <v>1.073467228024316</v>
      </c>
      <c r="R106" s="213">
        <f>SUMPRODUCT(R2:R9,'NIR APA vkm'!$K$2:$K$9)</f>
        <v>2690.1543375272167</v>
      </c>
      <c r="S106" s="213">
        <f>SUMPRODUCT(S2:S9,'NIR APA vkm'!$K$2:$K$9)</f>
        <v>2695.3224321740186</v>
      </c>
      <c r="T106" s="213">
        <f>SUMPRODUCT(T2:T9,'NIR APA vkm'!$K$2:$K$9)</f>
        <v>2689.8560087845499</v>
      </c>
      <c r="U106" s="213">
        <f>SUMPRODUCT(U2:U9,'NIR APA vkm'!$K$2:$K$9)</f>
        <v>2695.3443611004341</v>
      </c>
      <c r="V106" s="213">
        <f>SUMPRODUCT(V2:V9,'NIR APA vkm'!$K$2:$K$9)</f>
        <v>2690.8357246998594</v>
      </c>
      <c r="W106" s="213">
        <f>SUMPRODUCT(W2:W9,'NIR APA vkm'!$K$2:$K$9)</f>
        <v>2695.0464282743392</v>
      </c>
      <c r="X106" s="213">
        <f>SUMPRODUCT(X2:X9,'NIR APA vkm'!$K$2:$K$9)</f>
        <v>2676.9377347816812</v>
      </c>
      <c r="Y106" s="213">
        <f>SUMPRODUCT(Y2:Y9,'NIR APA vkm'!$K$2:$K$9)</f>
        <v>9.6962376112602527E-2</v>
      </c>
      <c r="Z106" s="213">
        <f>SUMPRODUCT(Z2:Z9,'NIR APA vkm'!$K$2:$K$9)</f>
        <v>3.8503122534776175E-2</v>
      </c>
      <c r="AA106" s="213">
        <f>SUMPRODUCT(AA2:AA9,'NIR APA vkm'!$K$2:$K$9)</f>
        <v>1386.3582715185712</v>
      </c>
      <c r="AB106" s="213">
        <f>SUMPRODUCT(AB2:AB9,'NIR APA vkm'!$K$2:$K$9)</f>
        <v>1389.1731162115909</v>
      </c>
      <c r="AC106" s="213">
        <f>SUMPRODUCT(AC2:AC9,'NIR APA vkm'!$K$2:$K$9)</f>
        <v>1386.2057691492594</v>
      </c>
      <c r="AD106" s="213">
        <f>SUMPRODUCT(AD2:AD9,'NIR APA vkm'!$K$2:$K$9)</f>
        <v>1389.1962928811156</v>
      </c>
      <c r="AE106" s="213">
        <f>SUMPRODUCT(AE2:AE9,'NIR APA vkm'!$K$2:$K$9)</f>
        <v>1386.6981920672633</v>
      </c>
      <c r="AF106" s="213">
        <f>SUMPRODUCT(AF2:AF9,'NIR APA vkm'!$K$2:$K$9)</f>
        <v>1389.002818844451</v>
      </c>
      <c r="AG106" s="213">
        <f>SUMPRODUCT(AG2:AG9,'NIR APA vkm'!$K$2:$K$9)</f>
        <v>1379.5004729228433</v>
      </c>
      <c r="AH106" s="213">
        <f>SUMPRODUCT(AH2:AH9,'NIR APA vkm'!$K$2:$K$9)</f>
        <v>5.2811345084799427E-2</v>
      </c>
      <c r="AI106" s="213">
        <f>SUMPRODUCT(AI2:AI9,'NIR APA vkm'!$K$2:$K$9)</f>
        <v>1.972293797751647E-2</v>
      </c>
      <c r="AJ106" s="213">
        <f>SUMPRODUCT(AJ2:AJ9,'NIR APA vkm'!$K$2:$K$9)</f>
        <v>51.539013042586852</v>
      </c>
      <c r="AK106" t="s">
        <v>424</v>
      </c>
      <c r="AL106" t="s">
        <v>791</v>
      </c>
    </row>
    <row r="107" spans="1:38" ht="15.75" thickBot="1" x14ac:dyDescent="0.3">
      <c r="A107" t="s">
        <v>2</v>
      </c>
      <c r="B107" t="s">
        <v>13</v>
      </c>
      <c r="C107" t="s">
        <v>92</v>
      </c>
      <c r="D107" t="s">
        <v>16</v>
      </c>
      <c r="E107" t="s">
        <v>782</v>
      </c>
      <c r="F107" s="6" t="s">
        <v>56</v>
      </c>
      <c r="G107" s="6" t="s">
        <v>96</v>
      </c>
      <c r="H107" s="9">
        <f>IF(G107="MJ",INDEX(Tabela1[Energia (MJ/Qtd.)],MATCH(C107,Tabela1[Fuel],0)),IF(G107="GJ",INDEX(Tabela1[Energia (GJ/Qtd.)2],MATCH(C107,Tabela1[Fuel],0)),"XXX"))</f>
        <v>3.7521600000000002E-2</v>
      </c>
      <c r="I107" s="213">
        <f>I11*'NIR APA vkm'!$K$10+I13*'NIR APA vkm'!$K$11+I15*'NIR APA vkm'!$K$12</f>
        <v>66682.789546802043</v>
      </c>
      <c r="J107" s="213">
        <f>J11*'NIR APA vkm'!$K$10+J13*'NIR APA vkm'!$K$11+J15*'NIR APA vkm'!$K$12</f>
        <v>70163.562172839738</v>
      </c>
      <c r="K107" s="213">
        <f>K11*'NIR APA vkm'!$K$10+K13*'NIR APA vkm'!$K$11+K15*'NIR APA vkm'!$K$12</f>
        <v>66350.076695707132</v>
      </c>
      <c r="L107" s="213">
        <f>L11*'NIR APA vkm'!$K$10+L13*'NIR APA vkm'!$K$11+L15*'NIR APA vkm'!$K$12</f>
        <v>70030.073518519581</v>
      </c>
      <c r="M107" s="213">
        <f>M11*'NIR APA vkm'!$K$10+M13*'NIR APA vkm'!$K$11+M15*'NIR APA vkm'!$K$12</f>
        <v>67553.539736119521</v>
      </c>
      <c r="N107" s="213">
        <f>N11*'NIR APA vkm'!$K$10+N13*'NIR APA vkm'!$K$11+N15*'NIR APA vkm'!$K$12</f>
        <v>70241.240152058817</v>
      </c>
      <c r="O107" s="213">
        <f>O11*'NIR APA vkm'!$K$10+O13*'NIR APA vkm'!$K$11+O15*'NIR APA vkm'!$K$12</f>
        <v>53284.091217019617</v>
      </c>
      <c r="P107" s="213">
        <f>P11*'NIR APA vkm'!$K$10+P13*'NIR APA vkm'!$K$11+P15*'NIR APA vkm'!$K$12</f>
        <v>65.305302552302123</v>
      </c>
      <c r="Q107" s="213">
        <f>Q11*'NIR APA vkm'!$K$10+Q13*'NIR APA vkm'!$K$11+Q15*'NIR APA vkm'!$K$12</f>
        <v>42.405422668766278</v>
      </c>
      <c r="R107" s="213">
        <f>R11*'NIR APA vkm'!$K$10+R13*'NIR APA vkm'!$K$11+R15*'NIR APA vkm'!$K$12</f>
        <v>2502.0449562592876</v>
      </c>
      <c r="S107" s="213">
        <f>S11*'NIR APA vkm'!$K$10+S13*'NIR APA vkm'!$K$11+S15*'NIR APA vkm'!$K$12</f>
        <v>2632.6491144244237</v>
      </c>
      <c r="T107" s="213">
        <f>T11*'NIR APA vkm'!$K$10+T13*'NIR APA vkm'!$K$11+T15*'NIR APA vkm'!$K$12</f>
        <v>2489.5610377456451</v>
      </c>
      <c r="U107" s="213">
        <f>U11*'NIR APA vkm'!$K$10+U13*'NIR APA vkm'!$K$11+U15*'NIR APA vkm'!$K$12</f>
        <v>2627.640406532485</v>
      </c>
      <c r="V107" s="213">
        <f>V11*'NIR APA vkm'!$K$10+V13*'NIR APA vkm'!$K$11+V15*'NIR APA vkm'!$K$12</f>
        <v>2534.716896562782</v>
      </c>
      <c r="W107" s="213">
        <f>W11*'NIR APA vkm'!$K$10+W13*'NIR APA vkm'!$K$11+W15*'NIR APA vkm'!$K$12</f>
        <v>2635.5637164894906</v>
      </c>
      <c r="X107" s="213">
        <f>X11*'NIR APA vkm'!$K$10+X13*'NIR APA vkm'!$K$11+X15*'NIR APA vkm'!$K$12</f>
        <v>1999.3043570085233</v>
      </c>
      <c r="Y107" s="213">
        <f>Y11*'NIR APA vkm'!$K$10+Y13*'NIR APA vkm'!$K$11+Y15*'NIR APA vkm'!$K$12</f>
        <v>2.4503594402464599</v>
      </c>
      <c r="Z107" s="213">
        <f>Z11*'NIR APA vkm'!$K$10+Z13*'NIR APA vkm'!$K$11+Z15*'NIR APA vkm'!$K$12</f>
        <v>1.5911193072083807</v>
      </c>
      <c r="AA107" s="213">
        <f>AA11*'NIR APA vkm'!$K$10+AA13*'NIR APA vkm'!$K$11+AA15*'NIR APA vkm'!$K$12</f>
        <v>1671.2339504323008</v>
      </c>
      <c r="AB107" s="213">
        <f>AB11*'NIR APA vkm'!$K$10+AB13*'NIR APA vkm'!$K$11+AB15*'NIR APA vkm'!$K$12</f>
        <v>1756.8733962949939</v>
      </c>
      <c r="AC107" s="213">
        <f>AC11*'NIR APA vkm'!$K$10+AC13*'NIR APA vkm'!$K$11+AC15*'NIR APA vkm'!$K$12</f>
        <v>1663.3946248147824</v>
      </c>
      <c r="AD107" s="213">
        <f>AD11*'NIR APA vkm'!$K$10+AD13*'NIR APA vkm'!$K$11+AD15*'NIR APA vkm'!$K$12</f>
        <v>1753.9790228292945</v>
      </c>
      <c r="AE107" s="213">
        <f>AE11*'NIR APA vkm'!$K$10+AE13*'NIR APA vkm'!$K$11+AE15*'NIR APA vkm'!$K$12</f>
        <v>1691.5743933403344</v>
      </c>
      <c r="AF107" s="213">
        <f>AF11*'NIR APA vkm'!$K$10+AF13*'NIR APA vkm'!$K$11+AF15*'NIR APA vkm'!$K$12</f>
        <v>1758.0913531066863</v>
      </c>
      <c r="AG107" s="213">
        <f>AG11*'NIR APA vkm'!$K$10+AG13*'NIR APA vkm'!$K$11+AG15*'NIR APA vkm'!$K$12</f>
        <v>1353.4057977199341</v>
      </c>
      <c r="AH107" s="213">
        <f>AH11*'NIR APA vkm'!$K$10+AH13*'NIR APA vkm'!$K$11+AH15*'NIR APA vkm'!$K$12</f>
        <v>1.6067438248160044</v>
      </c>
      <c r="AI107" s="213">
        <f>AI11*'NIR APA vkm'!$K$10+AI13*'NIR APA vkm'!$K$11+AI15*'NIR APA vkm'!$K$12</f>
        <v>1</v>
      </c>
      <c r="AJ107" s="213">
        <f>AJ11*'NIR APA vkm'!$K$10+AJ13*'NIR APA vkm'!$K$11+AJ15*'NIR APA vkm'!$K$12</f>
        <v>67.754142356910748</v>
      </c>
      <c r="AK107" t="s">
        <v>424</v>
      </c>
      <c r="AL107" t="s">
        <v>791</v>
      </c>
    </row>
    <row r="108" spans="1:38" ht="15.75" thickBot="1" x14ac:dyDescent="0.3">
      <c r="A108" t="s">
        <v>2</v>
      </c>
      <c r="B108" t="s">
        <v>13</v>
      </c>
      <c r="C108" t="s">
        <v>95</v>
      </c>
      <c r="D108" t="s">
        <v>16</v>
      </c>
      <c r="E108" t="s">
        <v>783</v>
      </c>
      <c r="F108" s="6" t="s">
        <v>57</v>
      </c>
      <c r="G108" s="6" t="s">
        <v>96</v>
      </c>
      <c r="H108" s="9">
        <f>IF(G108="MJ",INDEX(Tabela1[Energia (MJ/Qtd.)],MATCH(C108,Tabela1[Fuel],0)),IF(G108="GJ",INDEX(Tabela1[Energia (GJ/Qtd.)2],MATCH(C108,Tabela1[Fuel],0)),"XXX"))</f>
        <v>4.8000000000000001E-2</v>
      </c>
      <c r="I108" s="213">
        <f>I19*'NIR APA vkm'!$K$10+I21*'NIR APA vkm'!$K$11+I23*'NIR APA vkm'!$K$12</f>
        <v>66682.789546802043</v>
      </c>
      <c r="J108" s="213">
        <f>J19*'NIR APA vkm'!$K$10+J21*'NIR APA vkm'!$K$11+J23*'NIR APA vkm'!$K$12</f>
        <v>70163.562172839738</v>
      </c>
      <c r="K108" s="213">
        <f>K19*'NIR APA vkm'!$K$10+K21*'NIR APA vkm'!$K$11+K23*'NIR APA vkm'!$K$12</f>
        <v>66350.076695707132</v>
      </c>
      <c r="L108" s="213">
        <f>L19*'NIR APA vkm'!$K$10+L21*'NIR APA vkm'!$K$11+L23*'NIR APA vkm'!$K$12</f>
        <v>70030.073518519581</v>
      </c>
      <c r="M108" s="213">
        <f>M19*'NIR APA vkm'!$K$10+M21*'NIR APA vkm'!$K$11+M23*'NIR APA vkm'!$K$12</f>
        <v>67553.539736119521</v>
      </c>
      <c r="N108" s="213">
        <f>N19*'NIR APA vkm'!$K$10+N21*'NIR APA vkm'!$K$11+N23*'NIR APA vkm'!$K$12</f>
        <v>70241.240152058817</v>
      </c>
      <c r="O108" s="213">
        <f>O19*'NIR APA vkm'!$K$10+O21*'NIR APA vkm'!$K$11+O23*'NIR APA vkm'!$K$12</f>
        <v>53284.091217019617</v>
      </c>
      <c r="P108" s="213">
        <f>P19*'NIR APA vkm'!$K$10+P21*'NIR APA vkm'!$K$11+P23*'NIR APA vkm'!$K$12</f>
        <v>65.305302552302123</v>
      </c>
      <c r="Q108" s="213">
        <f>Q19*'NIR APA vkm'!$K$10+Q21*'NIR APA vkm'!$K$11+Q23*'NIR APA vkm'!$K$12</f>
        <v>42.405422668766278</v>
      </c>
      <c r="R108" s="213">
        <f>R19*'NIR APA vkm'!$K$10+R21*'NIR APA vkm'!$K$11+R23*'NIR APA vkm'!$K$12</f>
        <v>3200.7738982464975</v>
      </c>
      <c r="S108" s="213">
        <f>S19*'NIR APA vkm'!$K$10+S21*'NIR APA vkm'!$K$11+S23*'NIR APA vkm'!$K$12</f>
        <v>3367.8509842963076</v>
      </c>
      <c r="T108" s="213">
        <f>T19*'NIR APA vkm'!$K$10+T21*'NIR APA vkm'!$K$11+T23*'NIR APA vkm'!$K$12</f>
        <v>3184.8036813939425</v>
      </c>
      <c r="U108" s="213">
        <f>U19*'NIR APA vkm'!$K$10+U21*'NIR APA vkm'!$K$11+U23*'NIR APA vkm'!$K$12</f>
        <v>3361.4435288889404</v>
      </c>
      <c r="V108" s="213">
        <f>V19*'NIR APA vkm'!$K$10+V21*'NIR APA vkm'!$K$11+V23*'NIR APA vkm'!$K$12</f>
        <v>3242.5699073337369</v>
      </c>
      <c r="W108" s="213">
        <f>W19*'NIR APA vkm'!$K$10+W21*'NIR APA vkm'!$K$11+W23*'NIR APA vkm'!$K$12</f>
        <v>3371.5795272988235</v>
      </c>
      <c r="X108" s="213">
        <f>X19*'NIR APA vkm'!$K$10+X21*'NIR APA vkm'!$K$11+X23*'NIR APA vkm'!$K$12</f>
        <v>2557.6363784169416</v>
      </c>
      <c r="Y108" s="213">
        <f>Y19*'NIR APA vkm'!$K$10+Y21*'NIR APA vkm'!$K$11+Y23*'NIR APA vkm'!$K$12</f>
        <v>3.1346545225105027</v>
      </c>
      <c r="Z108" s="213">
        <f>Z19*'NIR APA vkm'!$K$10+Z21*'NIR APA vkm'!$K$11+Z23*'NIR APA vkm'!$K$12</f>
        <v>2.0354602881007811</v>
      </c>
      <c r="AA108" s="213">
        <f>AA19*'NIR APA vkm'!$K$10+AA21*'NIR APA vkm'!$K$11+AA23*'NIR APA vkm'!$K$12</f>
        <v>1671.2339504323008</v>
      </c>
      <c r="AB108" s="213">
        <f>AB19*'NIR APA vkm'!$K$10+AB21*'NIR APA vkm'!$K$11+AB23*'NIR APA vkm'!$K$12</f>
        <v>1756.8733962949939</v>
      </c>
      <c r="AC108" s="213">
        <f>AC19*'NIR APA vkm'!$K$10+AC21*'NIR APA vkm'!$K$11+AC23*'NIR APA vkm'!$K$12</f>
        <v>1663.3946248147824</v>
      </c>
      <c r="AD108" s="213">
        <f>AD19*'NIR APA vkm'!$K$10+AD21*'NIR APA vkm'!$K$11+AD23*'NIR APA vkm'!$K$12</f>
        <v>1753.9790228292945</v>
      </c>
      <c r="AE108" s="213">
        <f>AE19*'NIR APA vkm'!$K$10+AE21*'NIR APA vkm'!$K$11+AE23*'NIR APA vkm'!$K$12</f>
        <v>1691.5743933403344</v>
      </c>
      <c r="AF108" s="213">
        <f>AF19*'NIR APA vkm'!$K$10+AF21*'NIR APA vkm'!$K$11+AF23*'NIR APA vkm'!$K$12</f>
        <v>1758.0913531066863</v>
      </c>
      <c r="AG108" s="213">
        <f>AG19*'NIR APA vkm'!$K$10+AG21*'NIR APA vkm'!$K$11+AG23*'NIR APA vkm'!$K$12</f>
        <v>1353.4057977199341</v>
      </c>
      <c r="AH108" s="213">
        <f>AH19*'NIR APA vkm'!$K$10+AH21*'NIR APA vkm'!$K$11+AH23*'NIR APA vkm'!$K$12</f>
        <v>1.6067438248160044</v>
      </c>
      <c r="AI108" s="213">
        <f>AI19*'NIR APA vkm'!$K$10+AI21*'NIR APA vkm'!$K$11+AI23*'NIR APA vkm'!$K$12</f>
        <v>1</v>
      </c>
      <c r="AJ108" s="213">
        <f>AJ19*'NIR APA vkm'!$K$10+AJ21*'NIR APA vkm'!$K$11+AJ23*'NIR APA vkm'!$K$12</f>
        <v>52.963413080397146</v>
      </c>
      <c r="AK108" t="s">
        <v>424</v>
      </c>
      <c r="AL108" t="s">
        <v>791</v>
      </c>
    </row>
    <row r="109" spans="1:38" ht="15.75" thickBot="1" x14ac:dyDescent="0.3">
      <c r="A109" t="s">
        <v>2</v>
      </c>
      <c r="B109" t="s">
        <v>15</v>
      </c>
      <c r="C109" t="s">
        <v>3</v>
      </c>
      <c r="D109" t="s">
        <v>16</v>
      </c>
      <c r="E109" t="s">
        <v>784</v>
      </c>
      <c r="F109" s="6" t="s">
        <v>55</v>
      </c>
      <c r="G109" s="6" t="s">
        <v>96</v>
      </c>
      <c r="H109" s="9">
        <f>IF(G109="MJ",INDEX(Tabela1[Energia (MJ/Qtd.)],MATCH(C109,Tabela1[Fuel],0)),IF(G109="GJ",INDEX(Tabela1[Energia (GJ/Qtd.)2],MATCH(C109,Tabela1[Fuel],0)),"XXX"))</f>
        <v>3.5868000000000004E-2</v>
      </c>
      <c r="I109" s="9">
        <f>65%*I110+35%*I106</f>
        <v>73391.044771438115</v>
      </c>
      <c r="J109" s="9">
        <f t="shared" ref="J109:AJ109" si="19">65%*J110+35%*J106</f>
        <v>73518.381211770087</v>
      </c>
      <c r="K109" s="9">
        <f t="shared" si="19"/>
        <v>73379.388439133909</v>
      </c>
      <c r="L109" s="9">
        <f t="shared" si="19"/>
        <v>73514.07746501462</v>
      </c>
      <c r="M109" s="9">
        <f t="shared" si="19"/>
        <v>73421.289139356682</v>
      </c>
      <c r="N109" s="9">
        <f t="shared" si="19"/>
        <v>73520.192413658267</v>
      </c>
      <c r="O109" s="9">
        <f t="shared" si="19"/>
        <v>72918.465259176417</v>
      </c>
      <c r="P109" s="9">
        <f t="shared" si="19"/>
        <v>2.3890514133579495</v>
      </c>
      <c r="Q109" s="9">
        <f t="shared" si="19"/>
        <v>1.4869046806923274</v>
      </c>
      <c r="R109" s="9">
        <f t="shared" si="19"/>
        <v>2625.8497020930881</v>
      </c>
      <c r="S109" s="9">
        <f t="shared" si="19"/>
        <v>2629.262326663501</v>
      </c>
      <c r="T109" s="9">
        <f t="shared" si="19"/>
        <v>2625.6027565386871</v>
      </c>
      <c r="U109" s="9">
        <f t="shared" si="19"/>
        <v>2629.2206114720875</v>
      </c>
      <c r="V109" s="9">
        <f t="shared" si="19"/>
        <v>2626.4557377934439</v>
      </c>
      <c r="W109" s="9">
        <f t="shared" si="19"/>
        <v>2629.179977225705</v>
      </c>
      <c r="X109" s="9">
        <f t="shared" si="19"/>
        <v>2615.4178481474451</v>
      </c>
      <c r="Y109" s="9">
        <f t="shared" si="19"/>
        <v>6.4026727399874875E-2</v>
      </c>
      <c r="Z109" s="9">
        <f t="shared" si="19"/>
        <v>3.1668528392624351E-2</v>
      </c>
      <c r="AA109" s="9">
        <f t="shared" si="19"/>
        <v>935.22603235931854</v>
      </c>
      <c r="AB109" s="9">
        <f t="shared" si="19"/>
        <v>935.75975715481047</v>
      </c>
      <c r="AC109" s="9">
        <f t="shared" si="19"/>
        <v>935.26191217001247</v>
      </c>
      <c r="AD109" s="9">
        <f t="shared" si="19"/>
        <v>935.83704708599453</v>
      </c>
      <c r="AE109" s="9">
        <f t="shared" si="19"/>
        <v>935.08799776500268</v>
      </c>
      <c r="AF109" s="9">
        <f t="shared" si="19"/>
        <v>935.59787514769232</v>
      </c>
      <c r="AG109" s="9">
        <f t="shared" si="19"/>
        <v>936.13688009889574</v>
      </c>
      <c r="AH109" s="9">
        <f t="shared" si="19"/>
        <v>1.0013598414482471E-2</v>
      </c>
      <c r="AI109" s="9">
        <f t="shared" si="19"/>
        <v>-4.3598063565610298E-3</v>
      </c>
      <c r="AJ109" s="9">
        <f t="shared" si="19"/>
        <v>34.964131561052</v>
      </c>
      <c r="AK109" t="s">
        <v>424</v>
      </c>
      <c r="AL109" t="s">
        <v>791</v>
      </c>
    </row>
    <row r="110" spans="1:38" ht="15.75" thickBot="1" x14ac:dyDescent="0.3">
      <c r="A110" t="s">
        <v>2</v>
      </c>
      <c r="B110" t="s">
        <v>14</v>
      </c>
      <c r="C110" t="s">
        <v>3</v>
      </c>
      <c r="D110" t="s">
        <v>16</v>
      </c>
      <c r="E110" t="s">
        <v>785</v>
      </c>
      <c r="F110" s="6" t="s">
        <v>55</v>
      </c>
      <c r="G110" s="6" t="s">
        <v>96</v>
      </c>
      <c r="H110" s="9">
        <f>IF(G110="MJ",INDEX(Tabela1[Energia (MJ/Qtd.)],MATCH(C110,Tabela1[Fuel],0)),IF(G110="GJ",INDEX(Tabela1[Energia (GJ/Qtd.)2],MATCH(C110,Tabela1[Fuel],0)),"XXX"))</f>
        <v>3.5868000000000004E-2</v>
      </c>
      <c r="I110" s="213">
        <f>SUMPRODUCT(I50:I57,'NIR APA vkm'!$K$16:$K$23)</f>
        <v>72523.8685319426</v>
      </c>
      <c r="J110" s="213">
        <f>SUMPRODUCT(J50:J57,'NIR APA vkm'!$K$16:$K$23)</f>
        <v>72642.185708403587</v>
      </c>
      <c r="K110" s="213">
        <f>SUMPRODUCT(K50:K57,'NIR APA vkm'!$K$16:$K$23)</f>
        <v>72510.414316608003</v>
      </c>
      <c r="L110" s="213">
        <f>SUMPRODUCT(L50:L57,'NIR APA vkm'!$K$16:$K$23)</f>
        <v>72635.235355705649</v>
      </c>
      <c r="M110" s="213">
        <f>SUMPRODUCT(M50:M57,'NIR APA vkm'!$K$16:$K$23)</f>
        <v>72560.169133210424</v>
      </c>
      <c r="N110" s="213">
        <f>SUMPRODUCT(N50:N57,'NIR APA vkm'!$K$16:$K$23)</f>
        <v>72649.115628976157</v>
      </c>
      <c r="O110" s="213">
        <f>SUMPRODUCT(O50:O57,'NIR APA vkm'!$K$16:$K$23)</f>
        <v>71995.234867271924</v>
      </c>
      <c r="P110" s="213">
        <f>SUMPRODUCT(P50:P57,'NIR APA vkm'!$K$16:$K$23)</f>
        <v>2.2198344551780478</v>
      </c>
      <c r="Q110" s="213">
        <f>SUMPRODUCT(Q50:Q57,'NIR APA vkm'!$K$16:$K$23)</f>
        <v>1.7095248475135643</v>
      </c>
      <c r="R110" s="213">
        <f>SUMPRODUCT(R50:R57,'NIR APA vkm'!$K$16:$K$23)</f>
        <v>2591.2241291670189</v>
      </c>
      <c r="S110" s="213">
        <f>SUMPRODUCT(S50:S57,'NIR APA vkm'!$K$16:$K$23)</f>
        <v>2593.6915006193767</v>
      </c>
      <c r="T110" s="213">
        <f>SUMPRODUCT(T50:T57,'NIR APA vkm'!$K$16:$K$23)</f>
        <v>2591.0048514832224</v>
      </c>
      <c r="U110" s="213">
        <f>SUMPRODUCT(U50:U57,'NIR APA vkm'!$K$16:$K$23)</f>
        <v>2593.6155155183624</v>
      </c>
      <c r="V110" s="213">
        <f>SUMPRODUCT(V50:V57,'NIR APA vkm'!$K$16:$K$23)</f>
        <v>2591.7895909976819</v>
      </c>
      <c r="W110" s="213">
        <f>SUMPRODUCT(W50:W57,'NIR APA vkm'!$K$16:$K$23)</f>
        <v>2593.7134266610556</v>
      </c>
      <c r="X110" s="213">
        <f>SUMPRODUCT(X50:X57,'NIR APA vkm'!$K$16:$K$23)</f>
        <v>2582.2917553443949</v>
      </c>
      <c r="Y110" s="213">
        <f>SUMPRODUCT(Y50:Y57,'NIR APA vkm'!$K$16:$K$23)</f>
        <v>4.6292147323790757E-2</v>
      </c>
      <c r="Z110" s="213">
        <f>SUMPRODUCT(Z50:Z57,'NIR APA vkm'!$K$16:$K$23)</f>
        <v>2.798836231608106E-2</v>
      </c>
      <c r="AA110" s="213">
        <f>SUMPRODUCT(AA50:AA57,'NIR APA vkm'!$K$16:$K$23)</f>
        <v>692.3086728120287</v>
      </c>
      <c r="AB110" s="213">
        <f>SUMPRODUCT(AB50:AB57,'NIR APA vkm'!$K$16:$K$23)</f>
        <v>691.61410227808256</v>
      </c>
      <c r="AC110" s="213">
        <f>SUMPRODUCT(AC50:AC57,'NIR APA vkm'!$K$16:$K$23)</f>
        <v>692.44598918118731</v>
      </c>
      <c r="AD110" s="213">
        <f>SUMPRODUCT(AD50:AD57,'NIR APA vkm'!$K$16:$K$23)</f>
        <v>691.72053011939101</v>
      </c>
      <c r="AE110" s="213">
        <f>SUMPRODUCT(AE50:AE57,'NIR APA vkm'!$K$16:$K$23)</f>
        <v>691.91327775609307</v>
      </c>
      <c r="AF110" s="213">
        <f>SUMPRODUCT(AF50:AF57,'NIR APA vkm'!$K$16:$K$23)</f>
        <v>691.45675161866848</v>
      </c>
      <c r="AG110" s="213">
        <f>SUMPRODUCT(AG50:AG57,'NIR APA vkm'!$K$16:$K$23)</f>
        <v>697.40263780907776</v>
      </c>
      <c r="AH110" s="213">
        <f>SUMPRODUCT(AH50:AH57,'NIR APA vkm'!$K$16:$K$23)</f>
        <v>-1.3031342100303579E-2</v>
      </c>
      <c r="AI110" s="213">
        <f>SUMPRODUCT(AI50:AI57,'NIR APA vkm'!$K$16:$K$23)</f>
        <v>-1.7327437921064299E-2</v>
      </c>
      <c r="AJ110" s="213">
        <f>SUMPRODUCT(AJ50:AJ57,'NIR APA vkm'!$K$16:$K$23)</f>
        <v>26.039195378687083</v>
      </c>
      <c r="AK110" t="s">
        <v>424</v>
      </c>
      <c r="AL110" t="s">
        <v>791</v>
      </c>
    </row>
    <row r="111" spans="1:38" ht="15.75" thickBot="1" x14ac:dyDescent="0.3">
      <c r="A111" t="s">
        <v>46</v>
      </c>
      <c r="B111" t="s">
        <v>79</v>
      </c>
      <c r="C111" t="s">
        <v>3</v>
      </c>
      <c r="D111" t="s">
        <v>16</v>
      </c>
      <c r="E111" t="s">
        <v>786</v>
      </c>
      <c r="F111" s="6" t="s">
        <v>55</v>
      </c>
      <c r="G111" s="6" t="s">
        <v>96</v>
      </c>
      <c r="H111" s="9">
        <f>IF(G111="MJ",INDEX(Tabela1[Energia (MJ/Qtd.)],MATCH(C111,Tabela1[Fuel],0)),IF(G111="GJ",INDEX(Tabela1[Energia (GJ/Qtd.)2],MATCH(C111,Tabela1[Fuel],0)),"XXX"))</f>
        <v>3.5868000000000004E-2</v>
      </c>
      <c r="I111" s="213">
        <f>SUMPRODUCT(I74:I81,'NIR APA vkm'!$K$24:$K$31)</f>
        <v>75550.045386161146</v>
      </c>
      <c r="J111" s="213">
        <f>SUMPRODUCT(J74:J81,'NIR APA vkm'!$K$24:$K$31)</f>
        <v>75678.92915429447</v>
      </c>
      <c r="K111" s="213">
        <f>SUMPRODUCT(K74:K81,'NIR APA vkm'!$K$24:$K$31)</f>
        <v>75525.060003393737</v>
      </c>
      <c r="L111" s="213">
        <f>SUMPRODUCT(L74:L81,'NIR APA vkm'!$K$24:$K$31)</f>
        <v>75659.737275885476</v>
      </c>
      <c r="M111" s="213">
        <f>SUMPRODUCT(M74:M81,'NIR APA vkm'!$K$24:$K$31)</f>
        <v>75621.867920254066</v>
      </c>
      <c r="N111" s="213">
        <f>SUMPRODUCT(N74:N81,'NIR APA vkm'!$K$24:$K$31)</f>
        <v>75707.137182245817</v>
      </c>
      <c r="O111" s="213">
        <f>SUMPRODUCT(O74:O81,'NIR APA vkm'!$K$24:$K$31)</f>
        <v>74621.703008047174</v>
      </c>
      <c r="P111" s="213">
        <f>SUMPRODUCT(P74:P81,'NIR APA vkm'!$K$24:$K$31)</f>
        <v>2.4180819537207121</v>
      </c>
      <c r="Q111" s="213">
        <f>SUMPRODUCT(Q74:Q81,'NIR APA vkm'!$K$24:$K$31)</f>
        <v>3.1533988703486417</v>
      </c>
      <c r="R111" s="213">
        <f>SUMPRODUCT(R74:R81,'NIR APA vkm'!$K$24:$K$31)</f>
        <v>2709.8290279108287</v>
      </c>
      <c r="S111" s="213">
        <f>SUMPRODUCT(S74:S81,'NIR APA vkm'!$K$24:$K$31)</f>
        <v>2714.4518309062337</v>
      </c>
      <c r="T111" s="213">
        <f>SUMPRODUCT(T74:T81,'NIR APA vkm'!$K$24:$K$31)</f>
        <v>2708.9328522017267</v>
      </c>
      <c r="U111" s="213">
        <f>SUMPRODUCT(U74:U81,'NIR APA vkm'!$K$24:$K$31)</f>
        <v>2713.7634566114602</v>
      </c>
      <c r="V111" s="213">
        <f>SUMPRODUCT(V74:V81,'NIR APA vkm'!$K$24:$K$31)</f>
        <v>2712.405158563673</v>
      </c>
      <c r="W111" s="213">
        <f>SUMPRODUCT(W74:W81,'NIR APA vkm'!$K$24:$K$31)</f>
        <v>2715.4635964527934</v>
      </c>
      <c r="X111" s="213">
        <f>SUMPRODUCT(X74:X81,'NIR APA vkm'!$K$24:$K$31)</f>
        <v>2676.5312434926359</v>
      </c>
      <c r="Y111" s="213">
        <f>SUMPRODUCT(Y74:Y81,'NIR APA vkm'!$K$24:$K$31)</f>
        <v>8.6731763516054522E-2</v>
      </c>
      <c r="Z111" s="213">
        <f>SUMPRODUCT(Z74:Z81,'NIR APA vkm'!$K$24:$K$31)</f>
        <v>0.1131061106816651</v>
      </c>
      <c r="AA111" s="213">
        <f>SUMPRODUCT(AA74:AA81,'NIR APA vkm'!$K$24:$K$31)</f>
        <v>576.81407671713384</v>
      </c>
      <c r="AB111" s="213">
        <f>SUMPRODUCT(AB74:AB81,'NIR APA vkm'!$K$24:$K$31)</f>
        <v>577.80910431485074</v>
      </c>
      <c r="AC111" s="213">
        <f>SUMPRODUCT(AC74:AC81,'NIR APA vkm'!$K$24:$K$31)</f>
        <v>576.62589408012423</v>
      </c>
      <c r="AD111" s="213">
        <f>SUMPRODUCT(AD74:AD81,'NIR APA vkm'!$K$24:$K$31)</f>
        <v>577.66623870312287</v>
      </c>
      <c r="AE111" s="213">
        <f>SUMPRODUCT(AE74:AE81,'NIR APA vkm'!$K$24:$K$31)</f>
        <v>577.35384288163289</v>
      </c>
      <c r="AF111" s="213">
        <f>SUMPRODUCT(AF74:AF81,'NIR APA vkm'!$K$24:$K$31)</f>
        <v>578.01745367180672</v>
      </c>
      <c r="AG111" s="213">
        <f>SUMPRODUCT(AG74:AG81,'NIR APA vkm'!$K$24:$K$31)</f>
        <v>569.80778885107088</v>
      </c>
      <c r="AH111" s="213">
        <f>SUMPRODUCT(AH74:AH81,'NIR APA vkm'!$K$24:$K$31)</f>
        <v>1.8668435229210696E-2</v>
      </c>
      <c r="AI111" s="213">
        <f>SUMPRODUCT(AI74:AI81,'NIR APA vkm'!$K$24:$K$31)</f>
        <v>2.375618506654938E-2</v>
      </c>
      <c r="AJ111" s="213">
        <f>SUMPRODUCT(AJ74:AJ81,'NIR APA vkm'!$K$24:$K$31)</f>
        <v>21.289262517216052</v>
      </c>
      <c r="AK111" t="s">
        <v>424</v>
      </c>
      <c r="AL111" t="s">
        <v>791</v>
      </c>
    </row>
    <row r="112" spans="1:38" ht="15.75" thickBot="1" x14ac:dyDescent="0.3">
      <c r="A112" t="s">
        <v>46</v>
      </c>
      <c r="B112" t="s">
        <v>78</v>
      </c>
      <c r="C112" t="s">
        <v>3</v>
      </c>
      <c r="D112" t="s">
        <v>16</v>
      </c>
      <c r="E112" t="s">
        <v>787</v>
      </c>
      <c r="F112" s="6" t="s">
        <v>55</v>
      </c>
      <c r="G112" s="6" t="s">
        <v>96</v>
      </c>
      <c r="H112" s="9">
        <f>IF(G112="MJ",INDEX(Tabela1[Energia (MJ/Qtd.)],MATCH(C112,Tabela1[Fuel],0)),IF(G112="GJ",INDEX(Tabela1[Energia (GJ/Qtd.)2],MATCH(C112,Tabela1[Fuel],0)),"XXX"))</f>
        <v>3.5868000000000004E-2</v>
      </c>
      <c r="I112" s="213">
        <f>SUMPRODUCT(I82:I89,'NIR APA vkm'!$K$32:$K$39)</f>
        <v>75053.50572353341</v>
      </c>
      <c r="J112" s="213">
        <f>SUMPRODUCT(J82:J89,'NIR APA vkm'!$K$32:$K$39)</f>
        <v>75297.051805663461</v>
      </c>
      <c r="K112" s="213">
        <f>SUMPRODUCT(K82:K89,'NIR APA vkm'!$K$32:$K$39)</f>
        <v>75041.938185496008</v>
      </c>
      <c r="L112" s="213">
        <f>SUMPRODUCT(L82:L89,'NIR APA vkm'!$K$32:$K$39)</f>
        <v>75300.887784618186</v>
      </c>
      <c r="M112" s="213">
        <f>SUMPRODUCT(M82:M89,'NIR APA vkm'!$K$32:$K$39)</f>
        <v>75077.831100022056</v>
      </c>
      <c r="N112" s="213">
        <f>SUMPRODUCT(N82:N89,'NIR APA vkm'!$K$32:$K$39)</f>
        <v>75279.062777813888</v>
      </c>
      <c r="O112" s="213">
        <f>SUMPRODUCT(O82:O89,'NIR APA vkm'!$K$32:$K$39)</f>
        <v>74515.685876436401</v>
      </c>
      <c r="P112" s="213">
        <f>SUMPRODUCT(P82:P89,'NIR APA vkm'!$K$32:$K$39)</f>
        <v>4.5693448804888011</v>
      </c>
      <c r="Q112" s="213">
        <f>SUMPRODUCT(Q82:Q89,'NIR APA vkm'!$K$32:$K$39)</f>
        <v>1.5030590656827318</v>
      </c>
      <c r="R112" s="213">
        <f>SUMPRODUCT(R82:R89,'NIR APA vkm'!$K$32:$K$39)</f>
        <v>2692.0191432916963</v>
      </c>
      <c r="S112" s="213">
        <f>SUMPRODUCT(S82:S89,'NIR APA vkm'!$K$32:$K$39)</f>
        <v>2700.754654165537</v>
      </c>
      <c r="T112" s="213">
        <f>SUMPRODUCT(T82:T89,'NIR APA vkm'!$K$32:$K$39)</f>
        <v>2691.6042388373708</v>
      </c>
      <c r="U112" s="213">
        <f>SUMPRODUCT(U82:U89,'NIR APA vkm'!$K$32:$K$39)</f>
        <v>2700.8922430586854</v>
      </c>
      <c r="V112" s="213">
        <f>SUMPRODUCT(V82:V89,'NIR APA vkm'!$K$32:$K$39)</f>
        <v>2692.8916458955919</v>
      </c>
      <c r="W112" s="213">
        <f>SUMPRODUCT(W82:W89,'NIR APA vkm'!$K$32:$K$39)</f>
        <v>2700.109423714629</v>
      </c>
      <c r="X112" s="213">
        <f>SUMPRODUCT(X82:X89,'NIR APA vkm'!$K$32:$K$39)</f>
        <v>2672.7286210160205</v>
      </c>
      <c r="Y112" s="213">
        <f>SUMPRODUCT(Y82:Y89,'NIR APA vkm'!$K$32:$K$39)</f>
        <v>0.16389326217337233</v>
      </c>
      <c r="Z112" s="213">
        <f>SUMPRODUCT(Z82:Z89,'NIR APA vkm'!$K$32:$K$39)</f>
        <v>5.391172256790823E-2</v>
      </c>
      <c r="AA112" s="213">
        <f>SUMPRODUCT(AA82:AA89,'NIR APA vkm'!$K$32:$K$39)</f>
        <v>810.08121974171922</v>
      </c>
      <c r="AB112" s="213">
        <f>SUMPRODUCT(AB82:AB89,'NIR APA vkm'!$K$32:$K$39)</f>
        <v>812.76644619537387</v>
      </c>
      <c r="AC112" s="213">
        <f>SUMPRODUCT(AC82:AC89,'NIR APA vkm'!$K$32:$K$39)</f>
        <v>809.95634811216837</v>
      </c>
      <c r="AD112" s="213">
        <f>SUMPRODUCT(AD82:AD89,'NIR APA vkm'!$K$32:$K$39)</f>
        <v>812.81173995636641</v>
      </c>
      <c r="AE112" s="213">
        <f>SUMPRODUCT(AE82:AE89,'NIR APA vkm'!$K$32:$K$39)</f>
        <v>810.34108667133012</v>
      </c>
      <c r="AF112" s="213">
        <f>SUMPRODUCT(AF82:AF89,'NIR APA vkm'!$K$32:$K$39)</f>
        <v>812.56277410582879</v>
      </c>
      <c r="AG112" s="213">
        <f>SUMPRODUCT(AG82:AG89,'NIR APA vkm'!$K$32:$K$39)</f>
        <v>804.24246781612453</v>
      </c>
      <c r="AH112" s="213">
        <f>SUMPRODUCT(AH82:AH89,'NIR APA vkm'!$K$32:$K$39)</f>
        <v>5.0379483183012524E-2</v>
      </c>
      <c r="AI112" s="213">
        <f>SUMPRODUCT(AI82:AI89,'NIR APA vkm'!$K$32:$K$39)</f>
        <v>1.6238697233657905E-2</v>
      </c>
      <c r="AJ112" s="213">
        <f>SUMPRODUCT(AJ82:AJ89,'NIR APA vkm'!$K$32:$K$39)</f>
        <v>30.09242666166282</v>
      </c>
      <c r="AK112" t="s">
        <v>424</v>
      </c>
      <c r="AL112" t="s">
        <v>791</v>
      </c>
    </row>
    <row r="113" spans="1:38" ht="15.75" thickBot="1" x14ac:dyDescent="0.3">
      <c r="A113" t="s">
        <v>46</v>
      </c>
      <c r="B113" t="s">
        <v>80</v>
      </c>
      <c r="C113" t="s">
        <v>3</v>
      </c>
      <c r="D113" t="s">
        <v>16</v>
      </c>
      <c r="E113" t="s">
        <v>788</v>
      </c>
      <c r="F113" s="6" t="s">
        <v>55</v>
      </c>
      <c r="G113" s="6" t="s">
        <v>96</v>
      </c>
      <c r="H113" s="9">
        <f>IF(G113="MJ",INDEX(Tabela1[Energia (MJ/Qtd.)],MATCH(C113,Tabela1[Fuel],0)),IF(G113="GJ",INDEX(Tabela1[Energia (GJ/Qtd.)2],MATCH(C113,Tabela1[Fuel],0)),"XXX"))</f>
        <v>3.5868000000000004E-2</v>
      </c>
      <c r="I113" s="213">
        <f>SUMPRODUCT(I90:I97,'NIR APA vkm'!$K$40:$K$47)</f>
        <v>74947.44305013855</v>
      </c>
      <c r="J113" s="213">
        <f>SUMPRODUCT(J90:J97,'NIR APA vkm'!$K$40:$K$47)</f>
        <v>75193.003815810342</v>
      </c>
      <c r="K113" s="213">
        <f>SUMPRODUCT(K90:K97,'NIR APA vkm'!$K$40:$K$47)</f>
        <v>74937.051986925973</v>
      </c>
      <c r="L113" s="213">
        <f>SUMPRODUCT(L90:L97,'NIR APA vkm'!$K$40:$K$47)</f>
        <v>75198.302712536999</v>
      </c>
      <c r="M113" s="213">
        <f>SUMPRODUCT(M90:M97,'NIR APA vkm'!$K$40:$K$47)</f>
        <v>74967.99413804042</v>
      </c>
      <c r="N113" s="213">
        <f>SUMPRODUCT(N90:N97,'NIR APA vkm'!$K$40:$K$47)</f>
        <v>75172.321647844379</v>
      </c>
      <c r="O113" s="213">
        <f>SUMPRODUCT(O90:O97,'NIR APA vkm'!$K$40:$K$47)</f>
        <v>74448.586827106788</v>
      </c>
      <c r="P113" s="213">
        <f>SUMPRODUCT(P90:P97,'NIR APA vkm'!$K$40:$K$47)</f>
        <v>4.607143821234307</v>
      </c>
      <c r="Q113" s="213">
        <f>SUMPRODUCT(Q90:Q97,'NIR APA vkm'!$K$40:$K$47)</f>
        <v>1.3564721993382207</v>
      </c>
      <c r="R113" s="213">
        <f>SUMPRODUCT(R90:R97,'NIR APA vkm'!$K$40:$K$47)</f>
        <v>2688.21488732237</v>
      </c>
      <c r="S113" s="213">
        <f>SUMPRODUCT(S90:S97,'NIR APA vkm'!$K$40:$K$47)</f>
        <v>2697.0226608654857</v>
      </c>
      <c r="T113" s="213">
        <f>SUMPRODUCT(T90:T97,'NIR APA vkm'!$K$40:$K$47)</f>
        <v>2687.8421806670603</v>
      </c>
      <c r="U113" s="213">
        <f>SUMPRODUCT(U90:U97,'NIR APA vkm'!$K$40:$K$47)</f>
        <v>2697.2127216932772</v>
      </c>
      <c r="V113" s="213">
        <f>SUMPRODUCT(V90:V97,'NIR APA vkm'!$K$40:$K$47)</f>
        <v>2688.9520137432341</v>
      </c>
      <c r="W113" s="213">
        <f>SUMPRODUCT(W90:W97,'NIR APA vkm'!$K$40:$K$47)</f>
        <v>2696.280832864883</v>
      </c>
      <c r="X113" s="213">
        <f>SUMPRODUCT(X90:X97,'NIR APA vkm'!$K$40:$K$47)</f>
        <v>2670.3219123146655</v>
      </c>
      <c r="Y113" s="213">
        <f>SUMPRODUCT(Y90:Y97,'NIR APA vkm'!$K$40:$K$47)</f>
        <v>0.16524903458003209</v>
      </c>
      <c r="Z113" s="213">
        <f>SUMPRODUCT(Z90:Z97,'NIR APA vkm'!$K$40:$K$47)</f>
        <v>4.8653944845863314E-2</v>
      </c>
      <c r="AA113" s="213">
        <f>SUMPRODUCT(AA90:AA97,'NIR APA vkm'!$K$40:$K$47)</f>
        <v>990.25145531240673</v>
      </c>
      <c r="AB113" s="213">
        <f>SUMPRODUCT(AB90:AB97,'NIR APA vkm'!$K$40:$K$47)</f>
        <v>993.59126247071163</v>
      </c>
      <c r="AC113" s="213">
        <f>SUMPRODUCT(AC90:AC97,'NIR APA vkm'!$K$40:$K$47)</f>
        <v>990.12022064208395</v>
      </c>
      <c r="AD113" s="213">
        <f>SUMPRODUCT(AD90:AD97,'NIR APA vkm'!$K$40:$K$47)</f>
        <v>993.67468423388277</v>
      </c>
      <c r="AE113" s="213">
        <f>SUMPRODUCT(AE90:AE97,'NIR APA vkm'!$K$40:$K$47)</f>
        <v>990.49942949164733</v>
      </c>
      <c r="AF113" s="213">
        <f>SUMPRODUCT(AF90:AF97,'NIR APA vkm'!$K$40:$K$47)</f>
        <v>993.28978688781581</v>
      </c>
      <c r="AG113" s="213">
        <f>SUMPRODUCT(AG90:AG97,'NIR APA vkm'!$K$40:$K$47)</f>
        <v>983.8110138078232</v>
      </c>
      <c r="AH113" s="213">
        <f>SUMPRODUCT(AH90:AH97,'NIR APA vkm'!$K$40:$K$47)</f>
        <v>6.2660547060129246E-2</v>
      </c>
      <c r="AI113" s="213">
        <f>SUMPRODUCT(AI90:AI97,'NIR APA vkm'!$K$40:$K$47)</f>
        <v>1.7187590628593336E-2</v>
      </c>
      <c r="AJ113" s="213">
        <f>SUMPRODUCT(AJ90:AJ97,'NIR APA vkm'!$K$40:$K$47)</f>
        <v>36.845924891397381</v>
      </c>
      <c r="AK113" t="s">
        <v>424</v>
      </c>
      <c r="AL113" t="s">
        <v>791</v>
      </c>
    </row>
    <row r="114" spans="1:38" ht="15.75" thickBot="1" x14ac:dyDescent="0.3">
      <c r="A114" s="4" t="s">
        <v>2</v>
      </c>
      <c r="B114" s="7" t="s">
        <v>16</v>
      </c>
      <c r="C114" s="5" t="s">
        <v>95</v>
      </c>
      <c r="D114" s="6" t="s">
        <v>16</v>
      </c>
      <c r="E114" s="6" t="str">
        <f t="shared" si="11"/>
        <v>Pesado de Passageiros M3: Geral : GNL : Geral</v>
      </c>
      <c r="F114" s="6" t="s">
        <v>57</v>
      </c>
      <c r="G114" s="6" t="s">
        <v>96</v>
      </c>
      <c r="H114" s="9">
        <f>IF(G114="MJ",INDEX(Tabela1[Energia (MJ/Qtd.)],MATCH(C114,Tabela1[Fuel],0)),IF(G114="GJ",INDEX(Tabela1[Energia (GJ/Qtd.)2],MATCH(C114,Tabela1[Fuel],0)),"XXX"))</f>
        <v>4.8000000000000001E-2</v>
      </c>
      <c r="I114" s="17">
        <f>O114*'PAG100 FE GE'!$E$2+P114*'PAG100 FE GE'!$E$3+Q114*'PAG100 FE GE'!$E$4</f>
        <v>-301.89999999999998</v>
      </c>
      <c r="J114" s="17">
        <f>O114*'PAG20 FE GE'!$E$2+P114*'PAG20 FE GE'!$E$3+Q114*'PAG20 FE GE'!$E$4</f>
        <v>-355.2</v>
      </c>
      <c r="K114" s="17">
        <f>O114*'PAG100 FE GE'!$D$2+P114*'PAG100 FE GE'!$D$3+Q114*'PAG100 FE GE'!$D$4</f>
        <v>-294</v>
      </c>
      <c r="L114" s="17">
        <f>O114*'PAG20 FE GE'!$D$2+P114*'PAG20 FE GE'!$D$3+Q114*'PAG20 FE GE'!$D$4</f>
        <v>-350</v>
      </c>
      <c r="M114" s="17">
        <f>O114*'PAG100 FE GE'!$C$2+P114*'PAG100 FE GE'!$C$3+Q114*'PAG100 FE GE'!$C$4</f>
        <v>-324</v>
      </c>
      <c r="N114" s="17">
        <f>O114*'PAG20 FE GE'!$C$2+P114*'PAG20 FE GE'!$C$3+Q114*'PAG20 FE GE'!$C$4</f>
        <v>-362</v>
      </c>
      <c r="O114" s="16">
        <v>-1</v>
      </c>
      <c r="P114" s="16">
        <v>-1</v>
      </c>
      <c r="Q114" s="16">
        <v>-1</v>
      </c>
      <c r="R114" s="9">
        <f>X114*'PAG100 FE GE'!$E$2+Y114*'PAG100 FE GE'!$E$3+Z114*'PAG100 FE GE'!$E$4</f>
        <v>-301.89999999999998</v>
      </c>
      <c r="S114" s="9">
        <f>X114*'PAG20 FE GE'!$E$2+Y114*'PAG20 FE GE'!$E$3+Z114*'PAG20 FE GE'!$E$4</f>
        <v>-355.2</v>
      </c>
      <c r="T114" s="9">
        <f>X114*'PAG100 FE GE'!$D$2+Y114*'PAG100 FE GE'!$D$3+Z114*'PAG100 FE GE'!$D$4</f>
        <v>-294</v>
      </c>
      <c r="U114" s="9">
        <f>X114*'PAG20 FE GE'!$D$2+Y114*'PAG20 FE GE'!$D$3+Z114*'PAG20 FE GE'!$D$4</f>
        <v>-350</v>
      </c>
      <c r="V114" s="9">
        <f>X114*'PAG100 FE GE'!$C$2+Y114*'PAG100 FE GE'!$C$3+Z114*'PAG100 FE GE'!$C$4</f>
        <v>-324</v>
      </c>
      <c r="W114" s="9">
        <f>X114*'PAG20 FE GE'!$C$2+Y114*'PAG20 FE GE'!$C$3+Z114*'PAG20 FE GE'!$C$4</f>
        <v>-362</v>
      </c>
      <c r="X114" s="16">
        <v>-1</v>
      </c>
      <c r="Y114" s="16">
        <v>-1</v>
      </c>
      <c r="Z114" s="16">
        <v>-1</v>
      </c>
      <c r="AA114" s="9">
        <f>AG114*'PAG100 FE GE'!$E$2+AH114*'PAG100 FE GE'!$E$3+AI114*'PAG100 FE GE'!$E$4</f>
        <v>1632.696486</v>
      </c>
      <c r="AB114" s="9">
        <f>AG114*'PAG20 FE GE'!$E$2+AH114*'PAG20 FE GE'!$E$3+AI114*'PAG20 FE GE'!$E$4</f>
        <v>1687.6136080000001</v>
      </c>
      <c r="AC114" s="9">
        <f>AG114*'PAG100 FE GE'!$D$2+AH114*'PAG100 FE GE'!$D$3+AI114*'PAG100 FE GE'!$D$4</f>
        <v>1624.79952</v>
      </c>
      <c r="AD114" s="9">
        <f>AG114*'PAG20 FE GE'!$D$2+AH114*'PAG20 FE GE'!$D$3+AI114*'PAG20 FE GE'!$D$4</f>
        <v>1682.5289</v>
      </c>
      <c r="AE114" s="9">
        <f>AG114*'PAG100 FE GE'!$C$2+AH114*'PAG100 FE GE'!$C$3+AI114*'PAG100 FE GE'!$C$4</f>
        <v>1654.7085</v>
      </c>
      <c r="AF114" s="9">
        <f>AG114*'PAG20 FE GE'!$C$2+AH114*'PAG20 FE GE'!$C$3+AI114*'PAG20 FE GE'!$C$4</f>
        <v>1694.1344800000002</v>
      </c>
      <c r="AG114" s="6">
        <v>1330.95</v>
      </c>
      <c r="AH114" s="6">
        <v>1.03034</v>
      </c>
      <c r="AI114" s="6">
        <v>1</v>
      </c>
      <c r="AJ114" s="27">
        <v>-1</v>
      </c>
      <c r="AK114" t="s">
        <v>424</v>
      </c>
      <c r="AL114" t="s">
        <v>791</v>
      </c>
    </row>
    <row r="115" spans="1:38" ht="15.75" thickBot="1" x14ac:dyDescent="0.3">
      <c r="A115" s="4" t="s">
        <v>2</v>
      </c>
      <c r="B115" s="7" t="s">
        <v>16</v>
      </c>
      <c r="C115" s="5" t="s">
        <v>92</v>
      </c>
      <c r="D115" s="6" t="s">
        <v>16</v>
      </c>
      <c r="E115" s="6" t="str">
        <f t="shared" si="11"/>
        <v>Pesado de Passageiros M3: Geral : GNC : Geral</v>
      </c>
      <c r="F115" s="6" t="s">
        <v>56</v>
      </c>
      <c r="G115" s="6" t="s">
        <v>96</v>
      </c>
      <c r="H115" s="9">
        <f>IF(G115="MJ",INDEX(Tabela1[Energia (MJ/Qtd.)],MATCH(C115,Tabela1[Fuel],0)),IF(G115="GJ",INDEX(Tabela1[Energia (GJ/Qtd.)2],MATCH(C115,Tabela1[Fuel],0)),"XXX"))</f>
        <v>3.7521600000000002E-2</v>
      </c>
      <c r="I115" s="17">
        <f>O115*'PAG100 FE GE'!$E$2+P115*'PAG100 FE GE'!$E$3+Q115*'PAG100 FE GE'!$E$4</f>
        <v>-301.89999999999998</v>
      </c>
      <c r="J115" s="17">
        <f>O115*'PAG20 FE GE'!$E$2+P115*'PAG20 FE GE'!$E$3+Q115*'PAG20 FE GE'!$E$4</f>
        <v>-355.2</v>
      </c>
      <c r="K115" s="17">
        <f>O115*'PAG100 FE GE'!$D$2+P115*'PAG100 FE GE'!$D$3+Q115*'PAG100 FE GE'!$D$4</f>
        <v>-294</v>
      </c>
      <c r="L115" s="17">
        <f>O115*'PAG20 FE GE'!$D$2+P115*'PAG20 FE GE'!$D$3+Q115*'PAG20 FE GE'!$D$4</f>
        <v>-350</v>
      </c>
      <c r="M115" s="17">
        <f>O115*'PAG100 FE GE'!$C$2+P115*'PAG100 FE GE'!$C$3+Q115*'PAG100 FE GE'!$C$4</f>
        <v>-324</v>
      </c>
      <c r="N115" s="17">
        <f>O115*'PAG20 FE GE'!$C$2+P115*'PAG20 FE GE'!$C$3+Q115*'PAG20 FE GE'!$C$4</f>
        <v>-362</v>
      </c>
      <c r="O115" s="16">
        <v>-1</v>
      </c>
      <c r="P115" s="16">
        <v>-1</v>
      </c>
      <c r="Q115" s="16">
        <v>-1</v>
      </c>
      <c r="R115" s="9">
        <f>X115*'PAG100 FE GE'!$E$2+Y115*'PAG100 FE GE'!$E$3+Z115*'PAG100 FE GE'!$E$4</f>
        <v>-301.89999999999998</v>
      </c>
      <c r="S115" s="9">
        <f>X115*'PAG20 FE GE'!$E$2+Y115*'PAG20 FE GE'!$E$3+Z115*'PAG20 FE GE'!$E$4</f>
        <v>-355.2</v>
      </c>
      <c r="T115" s="9">
        <f>X115*'PAG100 FE GE'!$D$2+Y115*'PAG100 FE GE'!$D$3+Z115*'PAG100 FE GE'!$D$4</f>
        <v>-294</v>
      </c>
      <c r="U115" s="9">
        <f>X115*'PAG20 FE GE'!$D$2+Y115*'PAG20 FE GE'!$D$3+Z115*'PAG20 FE GE'!$D$4</f>
        <v>-350</v>
      </c>
      <c r="V115" s="9">
        <f>X115*'PAG100 FE GE'!$C$2+Y115*'PAG100 FE GE'!$C$3+Z115*'PAG100 FE GE'!$C$4</f>
        <v>-324</v>
      </c>
      <c r="W115" s="9">
        <f>X115*'PAG20 FE GE'!$C$2+Y115*'PAG20 FE GE'!$C$3+Z115*'PAG20 FE GE'!$C$4</f>
        <v>-362</v>
      </c>
      <c r="X115" s="16">
        <v>-1</v>
      </c>
      <c r="Y115" s="16">
        <v>-1</v>
      </c>
      <c r="Z115" s="16">
        <v>-1</v>
      </c>
      <c r="AA115" s="9">
        <f>AG115*'PAG100 FE GE'!$E$2+AH115*'PAG100 FE GE'!$E$3+AI115*'PAG100 FE GE'!$E$4</f>
        <v>1632.696486</v>
      </c>
      <c r="AB115" s="9">
        <f>AG115*'PAG20 FE GE'!$E$2+AH115*'PAG20 FE GE'!$E$3+AI115*'PAG20 FE GE'!$E$4</f>
        <v>1687.6136080000001</v>
      </c>
      <c r="AC115" s="9">
        <f>AG115*'PAG100 FE GE'!$D$2+AH115*'PAG100 FE GE'!$D$3+AI115*'PAG100 FE GE'!$D$4</f>
        <v>1624.79952</v>
      </c>
      <c r="AD115" s="9">
        <f>AG115*'PAG20 FE GE'!$D$2+AH115*'PAG20 FE GE'!$D$3+AI115*'PAG20 FE GE'!$D$4</f>
        <v>1682.5289</v>
      </c>
      <c r="AE115" s="9">
        <f>AG115*'PAG100 FE GE'!$C$2+AH115*'PAG100 FE GE'!$C$3+AI115*'PAG100 FE GE'!$C$4</f>
        <v>1654.7085</v>
      </c>
      <c r="AF115" s="9">
        <f>AG115*'PAG20 FE GE'!$C$2+AH115*'PAG20 FE GE'!$C$3+AI115*'PAG20 FE GE'!$C$4</f>
        <v>1694.1344800000002</v>
      </c>
      <c r="AG115" s="6">
        <v>1330.95</v>
      </c>
      <c r="AH115" s="6">
        <v>1.03034</v>
      </c>
      <c r="AI115" s="6">
        <v>1</v>
      </c>
      <c r="AJ115" s="27">
        <v>-1</v>
      </c>
      <c r="AK115" t="s">
        <v>424</v>
      </c>
      <c r="AL115" t="s">
        <v>791</v>
      </c>
    </row>
    <row r="116" spans="1:38" ht="15.75" thickBot="1" x14ac:dyDescent="0.3">
      <c r="A116" s="4" t="s">
        <v>46</v>
      </c>
      <c r="B116" s="7" t="s">
        <v>16</v>
      </c>
      <c r="C116" s="5" t="s">
        <v>3</v>
      </c>
      <c r="D116" s="6" t="s">
        <v>8</v>
      </c>
      <c r="E116" s="6" t="str">
        <f t="shared" si="11"/>
        <v>Pesado de Mercadorias N3: Geral : Gasóleo : E0</v>
      </c>
      <c r="F116" s="6" t="s">
        <v>55</v>
      </c>
      <c r="G116" s="6" t="s">
        <v>96</v>
      </c>
      <c r="H116" s="9">
        <f>IF(G116="MJ",INDEX(Tabela1[Energia (MJ/Qtd.)],MATCH(C116,Tabela1[Fuel],0)),IF(G116="GJ",INDEX(Tabela1[Energia (GJ/Qtd.)2],MATCH(C116,Tabela1[Fuel],0)),"XXX"))</f>
        <v>3.5868000000000004E-2</v>
      </c>
      <c r="I116" s="216">
        <f>(I74*'NIR APA vkm'!$J24+I82*'NIR APA vkm'!$J32+I90*'NIR APA vkm'!$J40)/('NIR APA vkm'!$J24+'NIR APA vkm'!$J32+'NIR APA vkm'!$J40)</f>
        <v>75549.814755449828</v>
      </c>
      <c r="J116" s="216">
        <f>(J74*'NIR APA vkm'!$L24+J82*'NIR APA vkm'!$L32+J90*'NIR APA vkm'!$L40)/('NIR APA vkm'!$L24+'NIR APA vkm'!$L32+'NIR APA vkm'!$L40)</f>
        <v>76026.456939857773</v>
      </c>
      <c r="K116" s="216">
        <f>(K74*'NIR APA vkm'!$L24+K82*'NIR APA vkm'!$L32+K90*'NIR APA vkm'!$L40)/('NIR APA vkm'!$L24+'NIR APA vkm'!$L32+'NIR APA vkm'!$L40)</f>
        <v>75533.972186911109</v>
      </c>
      <c r="L116" s="216">
        <f>(L74*'NIR APA vkm'!$L24+L82*'NIR APA vkm'!$L32+L90*'NIR APA vkm'!$L40)/('NIR APA vkm'!$L24+'NIR APA vkm'!$L32+'NIR APA vkm'!$L40)</f>
        <v>76029.27698736664</v>
      </c>
      <c r="M116" s="216">
        <f>(M74*'NIR APA vkm'!$L24+M82*'NIR APA vkm'!$L32+M90*'NIR APA vkm'!$L40)/('NIR APA vkm'!$L24+'NIR APA vkm'!$L32+'NIR APA vkm'!$L40)</f>
        <v>75619.286293633762</v>
      </c>
      <c r="N116" s="216">
        <f>(N74*'NIR APA vkm'!$L24+N82*'NIR APA vkm'!$L32+N90*'NIR APA vkm'!$L40)/('NIR APA vkm'!$L24+'NIR APA vkm'!$L32+'NIR APA vkm'!$L40)</f>
        <v>76000.057402345949</v>
      </c>
      <c r="O116" s="216">
        <f>(O74*'NIR APA vkm'!$L24+O82*'NIR APA vkm'!$L32+O90*'NIR APA vkm'!$L40)/('NIR APA vkm'!$L24+'NIR APA vkm'!$L32+'NIR APA vkm'!$L40)</f>
        <v>74393.137613419705</v>
      </c>
      <c r="P116" s="216">
        <f>(P74*'NIR APA vkm'!$L24+P82*'NIR APA vkm'!$L32+P90*'NIR APA vkm'!$L40)/('NIR APA vkm'!$L24+'NIR APA vkm'!$L32+'NIR APA vkm'!$L40)</f>
        <v>8.7488671574839305</v>
      </c>
      <c r="Q116" s="216">
        <f>(Q74*'NIR APA vkm'!$L24+Q82*'NIR APA vkm'!$L32+Q90*'NIR APA vkm'!$L40)/('NIR APA vkm'!$L24+'NIR APA vkm'!$L32+'NIR APA vkm'!$L40)</f>
        <v>3.380627521063635</v>
      </c>
      <c r="R116" s="216">
        <f>(R74*'NIR APA vkm'!$L24+R82*'NIR APA vkm'!$L32+R90*'NIR APA vkm'!$L40)/('NIR APA vkm'!$L24+'NIR APA vkm'!$L32+'NIR APA vkm'!$L40)</f>
        <v>2710.1911847468118</v>
      </c>
      <c r="S116" s="216">
        <f>(S74*'NIR APA vkm'!$L24+S82*'NIR APA vkm'!$L32+S90*'NIR APA vkm'!$L40)/('NIR APA vkm'!$L24+'NIR APA vkm'!$L32+'NIR APA vkm'!$L40)</f>
        <v>2726.9169575188189</v>
      </c>
      <c r="T116" s="216">
        <f>(T74*'NIR APA vkm'!$L24+T82*'NIR APA vkm'!$L32+T90*'NIR APA vkm'!$L40)/('NIR APA vkm'!$L24+'NIR APA vkm'!$L32+'NIR APA vkm'!$L40)</f>
        <v>2709.2525144001283</v>
      </c>
      <c r="U116" s="216">
        <f>(U74*'NIR APA vkm'!$L24+U82*'NIR APA vkm'!$L32+U90*'NIR APA vkm'!$L40)/('NIR APA vkm'!$L24+'NIR APA vkm'!$L32+'NIR APA vkm'!$L40)</f>
        <v>2727.0181069828664</v>
      </c>
      <c r="V116" s="216">
        <f>(V74*'NIR APA vkm'!$L24+V82*'NIR APA vkm'!$L32+V90*'NIR APA vkm'!$L40)/('NIR APA vkm'!$L24+'NIR APA vkm'!$L32+'NIR APA vkm'!$L40)</f>
        <v>2712.3125607800557</v>
      </c>
      <c r="W116" s="216">
        <f>(W74*'NIR APA vkm'!$L24+W82*'NIR APA vkm'!$L32+W90*'NIR APA vkm'!$L40)/('NIR APA vkm'!$L24+'NIR APA vkm'!$L32+'NIR APA vkm'!$L40)</f>
        <v>2725.9700589073445</v>
      </c>
      <c r="X116" s="216">
        <f>(X74*'NIR APA vkm'!$L24+X82*'NIR APA vkm'!$L32+X90*'NIR APA vkm'!$L40)/('NIR APA vkm'!$L24+'NIR APA vkm'!$L32+'NIR APA vkm'!$L40)</f>
        <v>2668.3330599181386</v>
      </c>
      <c r="Y116" s="216">
        <f>(Y74*'NIR APA vkm'!$L24+Y82*'NIR APA vkm'!$L32+Y90*'NIR APA vkm'!$L40)/('NIR APA vkm'!$L24+'NIR APA vkm'!$L32+'NIR APA vkm'!$L40)</f>
        <v>0.31380436720463367</v>
      </c>
      <c r="Z116" s="216">
        <f>(Z74*'NIR APA vkm'!$L24+Z82*'NIR APA vkm'!$L32+Z90*'NIR APA vkm'!$L40)/('NIR APA vkm'!$L24+'NIR APA vkm'!$L32+'NIR APA vkm'!$L40)</f>
        <v>0.12125634792551047</v>
      </c>
      <c r="AA116" s="216">
        <f>(AA74*'NIR APA vkm'!$L24+AA82*'NIR APA vkm'!$L32+AA90*'NIR APA vkm'!$L40)/('NIR APA vkm'!$L24+'NIR APA vkm'!$L32+'NIR APA vkm'!$L40)</f>
        <v>700.23634842698823</v>
      </c>
      <c r="AB116" s="216">
        <f>(AB74*'NIR APA vkm'!$L24+AB82*'NIR APA vkm'!$L32+AB90*'NIR APA vkm'!$L40)/('NIR APA vkm'!$L24+'NIR APA vkm'!$L32+'NIR APA vkm'!$L40)</f>
        <v>704.51609922899991</v>
      </c>
      <c r="AC116" s="216">
        <f>(AC74*'NIR APA vkm'!$L24+AC82*'NIR APA vkm'!$L32+AC90*'NIR APA vkm'!$L40)/('NIR APA vkm'!$L24+'NIR APA vkm'!$L32+'NIR APA vkm'!$L40)</f>
        <v>700.00437797821132</v>
      </c>
      <c r="AD116" s="216">
        <f>(AD74*'NIR APA vkm'!$L24+AD82*'NIR APA vkm'!$L32+AD90*'NIR APA vkm'!$L40)/('NIR APA vkm'!$L24+'NIR APA vkm'!$L32+'NIR APA vkm'!$L40)</f>
        <v>704.55122217548478</v>
      </c>
      <c r="AE116" s="216">
        <f>(AE74*'NIR APA vkm'!$L24+AE82*'NIR APA vkm'!$L32+AE90*'NIR APA vkm'!$L40)/('NIR APA vkm'!$L24+'NIR APA vkm'!$L32+'NIR APA vkm'!$L40)</f>
        <v>700.75349144151278</v>
      </c>
      <c r="AF116" s="216">
        <f>(AF74*'NIR APA vkm'!$L24+AF82*'NIR APA vkm'!$L32+AF90*'NIR APA vkm'!$L40)/('NIR APA vkm'!$L24+'NIR APA vkm'!$L32+'NIR APA vkm'!$L40)</f>
        <v>704.25738051645749</v>
      </c>
      <c r="AG116" s="216">
        <f>(AG74*'NIR APA vkm'!$L24+AG82*'NIR APA vkm'!$L32+AG90*'NIR APA vkm'!$L40)/('NIR APA vkm'!$L24+'NIR APA vkm'!$L32+'NIR APA vkm'!$L40)</f>
        <v>689.8061036356911</v>
      </c>
      <c r="AH116" s="216">
        <f>(AH74*'NIR APA vkm'!$L24+AH82*'NIR APA vkm'!$L32+AH90*'NIR APA vkm'!$L40)/('NIR APA vkm'!$L24+'NIR APA vkm'!$L32+'NIR APA vkm'!$L40)</f>
        <v>8.0295512232867475E-2</v>
      </c>
      <c r="AI116" s="216">
        <f>(AI74*'NIR APA vkm'!$L24+AI82*'NIR APA vkm'!$L32+AI90*'NIR APA vkm'!$L40)/('NIR APA vkm'!$L24+'NIR APA vkm'!$L32+'NIR APA vkm'!$L40)</f>
        <v>3.0000000000000002E-2</v>
      </c>
      <c r="AJ116" s="216">
        <f>(AJ74*'NIR APA vkm'!$L24+AJ82*'NIR APA vkm'!$L32+AJ90*'NIR APA vkm'!$L40)/('NIR APA vkm'!$L24+'NIR APA vkm'!$L32+'NIR APA vkm'!$L40)</f>
        <v>25.852580540400105</v>
      </c>
      <c r="AK116" t="s">
        <v>424</v>
      </c>
      <c r="AL116" t="s">
        <v>791</v>
      </c>
    </row>
    <row r="117" spans="1:38" ht="15.75" thickBot="1" x14ac:dyDescent="0.3">
      <c r="A117" s="4" t="s">
        <v>46</v>
      </c>
      <c r="B117" s="7" t="s">
        <v>16</v>
      </c>
      <c r="C117" s="5" t="s">
        <v>3</v>
      </c>
      <c r="D117" s="6" t="s">
        <v>7</v>
      </c>
      <c r="E117" s="6" t="str">
        <f t="shared" si="11"/>
        <v>Pesado de Mercadorias N3: Geral : Gasóleo : E1</v>
      </c>
      <c r="F117" s="6" t="s">
        <v>55</v>
      </c>
      <c r="G117" s="6" t="s">
        <v>96</v>
      </c>
      <c r="H117" s="9">
        <f>IF(G117="MJ",INDEX(Tabela1[Energia (MJ/Qtd.)],MATCH(C117,Tabela1[Fuel],0)),IF(G117="GJ",INDEX(Tabela1[Energia (GJ/Qtd.)2],MATCH(C117,Tabela1[Fuel],0)),"XXX"))</f>
        <v>3.5868000000000004E-2</v>
      </c>
      <c r="I117" s="216">
        <f>(I75*'NIR APA vkm'!$J25+I83*'NIR APA vkm'!$J33+I91*'NIR APA vkm'!$J41)/('NIR APA vkm'!$J25+'NIR APA vkm'!$J33+'NIR APA vkm'!$J41)</f>
        <v>74932.343774879118</v>
      </c>
      <c r="J117" s="216">
        <f>(J75*'NIR APA vkm'!$L25+J83*'NIR APA vkm'!$L33+J91*'NIR APA vkm'!$L41)/('NIR APA vkm'!$L25+'NIR APA vkm'!$L33+'NIR APA vkm'!$L41)</f>
        <v>75467.429694251769</v>
      </c>
      <c r="K117" s="216">
        <f>(K75*'NIR APA vkm'!$L25+K83*'NIR APA vkm'!$L33+K91*'NIR APA vkm'!$L41)/('NIR APA vkm'!$L25+'NIR APA vkm'!$L33+'NIR APA vkm'!$L41)</f>
        <v>74926.853974588128</v>
      </c>
      <c r="L117" s="216">
        <f>(L75*'NIR APA vkm'!$L25+L83*'NIR APA vkm'!$L33+L91*'NIR APA vkm'!$L41)/('NIR APA vkm'!$L25+'NIR APA vkm'!$L33+'NIR APA vkm'!$L41)</f>
        <v>75496.826577275904</v>
      </c>
      <c r="M117" s="216">
        <f>(M75*'NIR APA vkm'!$L25+M83*'NIR APA vkm'!$L33+M91*'NIR APA vkm'!$L41)/('NIR APA vkm'!$L25+'NIR APA vkm'!$L33+'NIR APA vkm'!$L41)</f>
        <v>74928.578165053812</v>
      </c>
      <c r="N117" s="216">
        <f>(N75*'NIR APA vkm'!$L25+N83*'NIR APA vkm'!$L33+N91*'NIR APA vkm'!$L41)/('NIR APA vkm'!$L25+'NIR APA vkm'!$L33+'NIR APA vkm'!$L41)</f>
        <v>75390.68400836541</v>
      </c>
      <c r="O117" s="216">
        <f>(O75*'NIR APA vkm'!$L25+O83*'NIR APA vkm'!$L33+O91*'NIR APA vkm'!$L41)/('NIR APA vkm'!$L25+'NIR APA vkm'!$L33+'NIR APA vkm'!$L41)</f>
        <v>74391.244241714026</v>
      </c>
      <c r="P117" s="216">
        <f>(P75*'NIR APA vkm'!$L25+P83*'NIR APA vkm'!$L33+P91*'NIR APA vkm'!$L41)/('NIR APA vkm'!$L25+'NIR APA vkm'!$L33+'NIR APA vkm'!$L41)</f>
        <v>10.01641111776496</v>
      </c>
      <c r="Q117" s="216">
        <f>(Q75*'NIR APA vkm'!$L25+Q83*'NIR APA vkm'!$L33+Q91*'NIR APA vkm'!$L41)/('NIR APA vkm'!$L25+'NIR APA vkm'!$L33+'NIR APA vkm'!$L41)</f>
        <v>0.96283102481766347</v>
      </c>
      <c r="R117" s="216">
        <f>(R75*'NIR APA vkm'!$L25+R83*'NIR APA vkm'!$L33+R91*'NIR APA vkm'!$L41)/('NIR APA vkm'!$L25+'NIR APA vkm'!$L33+'NIR APA vkm'!$L41)</f>
        <v>2687.7167500827145</v>
      </c>
      <c r="S117" s="216">
        <f>(S75*'NIR APA vkm'!$L25+S83*'NIR APA vkm'!$L33+S91*'NIR APA vkm'!$L41)/('NIR APA vkm'!$L25+'NIR APA vkm'!$L33+'NIR APA vkm'!$L41)</f>
        <v>2706.865768273422</v>
      </c>
      <c r="T117" s="216">
        <f>(T75*'NIR APA vkm'!$L25+T83*'NIR APA vkm'!$L33+T91*'NIR APA vkm'!$L41)/('NIR APA vkm'!$L25+'NIR APA vkm'!$L33+'NIR APA vkm'!$L41)</f>
        <v>2687.4763983605267</v>
      </c>
      <c r="U117" s="216">
        <f>(U75*'NIR APA vkm'!$L25+U83*'NIR APA vkm'!$L33+U91*'NIR APA vkm'!$L41)/('NIR APA vkm'!$L25+'NIR APA vkm'!$L33+'NIR APA vkm'!$L41)</f>
        <v>2707.9201756737325</v>
      </c>
      <c r="V117" s="216">
        <f>(V75*'NIR APA vkm'!$L25+V83*'NIR APA vkm'!$L33+V91*'NIR APA vkm'!$L41)/('NIR APA vkm'!$L25+'NIR APA vkm'!$L33+'NIR APA vkm'!$L41)</f>
        <v>2687.53824162415</v>
      </c>
      <c r="W117" s="216">
        <f>(W75*'NIR APA vkm'!$L25+W83*'NIR APA vkm'!$L33+W91*'NIR APA vkm'!$L41)/('NIR APA vkm'!$L25+'NIR APA vkm'!$L33+'NIR APA vkm'!$L41)</f>
        <v>2704.1130540120507</v>
      </c>
      <c r="X117" s="216">
        <f>(X75*'NIR APA vkm'!$L25+X83*'NIR APA vkm'!$L33+X91*'NIR APA vkm'!$L41)/('NIR APA vkm'!$L25+'NIR APA vkm'!$L33+'NIR APA vkm'!$L41)</f>
        <v>2668.2651484617991</v>
      </c>
      <c r="Y117" s="216">
        <f>(Y75*'NIR APA vkm'!$L25+Y83*'NIR APA vkm'!$L33+Y91*'NIR APA vkm'!$L41)/('NIR APA vkm'!$L25+'NIR APA vkm'!$L33+'NIR APA vkm'!$L41)</f>
        <v>0.35926863397199366</v>
      </c>
      <c r="Z117" s="216">
        <f>(Z75*'NIR APA vkm'!$L25+Z83*'NIR APA vkm'!$L33+Z91*'NIR APA vkm'!$L41)/('NIR APA vkm'!$L25+'NIR APA vkm'!$L33+'NIR APA vkm'!$L41)</f>
        <v>3.453482319815996E-2</v>
      </c>
      <c r="AA117" s="216">
        <f>(AA75*'NIR APA vkm'!$L25+AA83*'NIR APA vkm'!$L33+AA91*'NIR APA vkm'!$L41)/('NIR APA vkm'!$L25+'NIR APA vkm'!$L33+'NIR APA vkm'!$L41)</f>
        <v>670.01286797346859</v>
      </c>
      <c r="AB117" s="216">
        <f>(AB75*'NIR APA vkm'!$L25+AB83*'NIR APA vkm'!$L33+AB91*'NIR APA vkm'!$L41)/('NIR APA vkm'!$L25+'NIR APA vkm'!$L33+'NIR APA vkm'!$L41)</f>
        <v>674.67363092504786</v>
      </c>
      <c r="AC117" s="216">
        <f>(AC75*'NIR APA vkm'!$L25+AC83*'NIR APA vkm'!$L33+AC91*'NIR APA vkm'!$L41)/('NIR APA vkm'!$L25+'NIR APA vkm'!$L33+'NIR APA vkm'!$L41)</f>
        <v>669.95365841540251</v>
      </c>
      <c r="AD117" s="216">
        <f>(AD75*'NIR APA vkm'!$L25+AD83*'NIR APA vkm'!$L33+AD91*'NIR APA vkm'!$L41)/('NIR APA vkm'!$L25+'NIR APA vkm'!$L33+'NIR APA vkm'!$L41)</f>
        <v>674.92946976666906</v>
      </c>
      <c r="AE117" s="216">
        <f>(AE75*'NIR APA vkm'!$L25+AE83*'NIR APA vkm'!$L33+AE91*'NIR APA vkm'!$L41)/('NIR APA vkm'!$L25+'NIR APA vkm'!$L33+'NIR APA vkm'!$L41)</f>
        <v>669.97163660157696</v>
      </c>
      <c r="AF117" s="216">
        <f>(AF75*'NIR APA vkm'!$L25+AF83*'NIR APA vkm'!$L33+AF91*'NIR APA vkm'!$L41)/('NIR APA vkm'!$L25+'NIR APA vkm'!$L33+'NIR APA vkm'!$L41)</f>
        <v>674.00505442083841</v>
      </c>
      <c r="AG117" s="216">
        <f>(AG75*'NIR APA vkm'!$L25+AG83*'NIR APA vkm'!$L33+AG91*'NIR APA vkm'!$L41)/('NIR APA vkm'!$L25+'NIR APA vkm'!$L33+'NIR APA vkm'!$L41)</f>
        <v>665.25425287535677</v>
      </c>
      <c r="AH117" s="216">
        <f>(AH75*'NIR APA vkm'!$L25+AH83*'NIR APA vkm'!$L33+AH91*'NIR APA vkm'!$L41)/('NIR APA vkm'!$L25+'NIR APA vkm'!$L33+'NIR APA vkm'!$L41)</f>
        <v>8.7443957815745946E-2</v>
      </c>
      <c r="AI117" s="216">
        <f>(AI75*'NIR APA vkm'!$L25+AI83*'NIR APA vkm'!$L33+AI91*'NIR APA vkm'!$L41)/('NIR APA vkm'!$L25+'NIR APA vkm'!$L33+'NIR APA vkm'!$L41)</f>
        <v>8.4942442309617998E-3</v>
      </c>
      <c r="AJ117" s="216">
        <f>(AJ75*'NIR APA vkm'!$L25+AJ83*'NIR APA vkm'!$L33+AJ91*'NIR APA vkm'!$L41)/('NIR APA vkm'!$L25+'NIR APA vkm'!$L33+'NIR APA vkm'!$L41)</f>
        <v>24.933248060071321</v>
      </c>
      <c r="AK117" t="s">
        <v>424</v>
      </c>
      <c r="AL117" t="s">
        <v>791</v>
      </c>
    </row>
    <row r="118" spans="1:38" ht="15.75" thickBot="1" x14ac:dyDescent="0.3">
      <c r="A118" s="4" t="s">
        <v>46</v>
      </c>
      <c r="B118" s="7" t="s">
        <v>16</v>
      </c>
      <c r="C118" s="5" t="s">
        <v>3</v>
      </c>
      <c r="D118" s="6" t="s">
        <v>9</v>
      </c>
      <c r="E118" s="6" t="str">
        <f t="shared" si="11"/>
        <v>Pesado de Mercadorias N3: Geral : Gasóleo : E2</v>
      </c>
      <c r="F118" s="6" t="s">
        <v>55</v>
      </c>
      <c r="G118" s="6" t="s">
        <v>96</v>
      </c>
      <c r="H118" s="9">
        <f>IF(G118="MJ",INDEX(Tabela1[Energia (MJ/Qtd.)],MATCH(C118,Tabela1[Fuel],0)),IF(G118="GJ",INDEX(Tabela1[Energia (GJ/Qtd.)2],MATCH(C118,Tabela1[Fuel],0)),"XXX"))</f>
        <v>3.5868000000000004E-2</v>
      </c>
      <c r="I118" s="216">
        <f>(I76*'NIR APA vkm'!$J26+I84*'NIR APA vkm'!$J34+I92*'NIR APA vkm'!$J42)/('NIR APA vkm'!$J26+'NIR APA vkm'!$J34+'NIR APA vkm'!$J42)</f>
        <v>74855.616016662345</v>
      </c>
      <c r="J118" s="216">
        <f>(J76*'NIR APA vkm'!$L26+J84*'NIR APA vkm'!$L34+J92*'NIR APA vkm'!$L42)/('NIR APA vkm'!$L26+'NIR APA vkm'!$L34+'NIR APA vkm'!$L42)</f>
        <v>75276.85419807602</v>
      </c>
      <c r="K118" s="216">
        <f>(K76*'NIR APA vkm'!$L26+K84*'NIR APA vkm'!$L34+K92*'NIR APA vkm'!$L42)/('NIR APA vkm'!$L26+'NIR APA vkm'!$L34+'NIR APA vkm'!$L42)</f>
        <v>74850.052791052731</v>
      </c>
      <c r="L118" s="216">
        <f>(L76*'NIR APA vkm'!$L26+L84*'NIR APA vkm'!$L34+L92*'NIR APA vkm'!$L42)/('NIR APA vkm'!$L26+'NIR APA vkm'!$L34+'NIR APA vkm'!$L42)</f>
        <v>75298.737853506871</v>
      </c>
      <c r="M118" s="216">
        <f>(M76*'NIR APA vkm'!$L26+M84*'NIR APA vkm'!$L34+M92*'NIR APA vkm'!$L42)/('NIR APA vkm'!$L26+'NIR APA vkm'!$L34+'NIR APA vkm'!$L42)</f>
        <v>74856.048677239552</v>
      </c>
      <c r="N118" s="216">
        <f>(N76*'NIR APA vkm'!$L26+N84*'NIR APA vkm'!$L34+N92*'NIR APA vkm'!$L42)/('NIR APA vkm'!$L26+'NIR APA vkm'!$L34+'NIR APA vkm'!$L42)</f>
        <v>75218.669525065474</v>
      </c>
      <c r="O118" s="216">
        <f>(O76*'NIR APA vkm'!$L26+O84*'NIR APA vkm'!$L34+O92*'NIR APA vkm'!$L42)/('NIR APA vkm'!$L26+'NIR APA vkm'!$L34+'NIR APA vkm'!$L42)</f>
        <v>74391.040348015493</v>
      </c>
      <c r="P118" s="216">
        <f>(P76*'NIR APA vkm'!$L26+P84*'NIR APA vkm'!$L34+P92*'NIR APA vkm'!$L42)/('NIR APA vkm'!$L26+'NIR APA vkm'!$L34+'NIR APA vkm'!$L42)</f>
        <v>7.8874350091445216</v>
      </c>
      <c r="Q118" s="216">
        <f>(Q76*'NIR APA vkm'!$L26+Q84*'NIR APA vkm'!$L34+Q92*'NIR APA vkm'!$L42)/('NIR APA vkm'!$L26+'NIR APA vkm'!$L34+'NIR APA vkm'!$L42)</f>
        <v>0.89873306709886491</v>
      </c>
      <c r="R118" s="216">
        <f>(R76*'NIR APA vkm'!$L26+R84*'NIR APA vkm'!$L34+R92*'NIR APA vkm'!$L42)/('NIR APA vkm'!$L26+'NIR APA vkm'!$L34+'NIR APA vkm'!$L42)</f>
        <v>2684.951288918794</v>
      </c>
      <c r="S118" s="216">
        <f>(S76*'NIR APA vkm'!$L26+S84*'NIR APA vkm'!$L34+S92*'NIR APA vkm'!$L42)/('NIR APA vkm'!$L26+'NIR APA vkm'!$L34+'NIR APA vkm'!$L42)</f>
        <v>2700.0302063765907</v>
      </c>
      <c r="T118" s="216">
        <f>(T76*'NIR APA vkm'!$L26+T84*'NIR APA vkm'!$L34+T92*'NIR APA vkm'!$L42)/('NIR APA vkm'!$L26+'NIR APA vkm'!$L34+'NIR APA vkm'!$L42)</f>
        <v>2684.7216935094798</v>
      </c>
      <c r="U118" s="216">
        <f>(U76*'NIR APA vkm'!$L26+U84*'NIR APA vkm'!$L34+U92*'NIR APA vkm'!$L42)/('NIR APA vkm'!$L26+'NIR APA vkm'!$L34+'NIR APA vkm'!$L42)</f>
        <v>2700.8151293295846</v>
      </c>
      <c r="V118" s="216">
        <f>(V76*'NIR APA vkm'!$L26+V84*'NIR APA vkm'!$L34+V92*'NIR APA vkm'!$L42)/('NIR APA vkm'!$L26+'NIR APA vkm'!$L34+'NIR APA vkm'!$L42)</f>
        <v>2684.9367539552291</v>
      </c>
      <c r="W118" s="216">
        <f>(W76*'NIR APA vkm'!$L26+W84*'NIR APA vkm'!$L34+W92*'NIR APA vkm'!$L42)/('NIR APA vkm'!$L26+'NIR APA vkm'!$L34+'NIR APA vkm'!$L42)</f>
        <v>2697.9432385250484</v>
      </c>
      <c r="X118" s="216">
        <f>(X76*'NIR APA vkm'!$L26+X84*'NIR APA vkm'!$L34+X92*'NIR APA vkm'!$L42)/('NIR APA vkm'!$L26+'NIR APA vkm'!$L34+'NIR APA vkm'!$L42)</f>
        <v>2668.2578352026198</v>
      </c>
      <c r="Y118" s="216">
        <f>(Y76*'NIR APA vkm'!$L26+Y84*'NIR APA vkm'!$L34+Y92*'NIR APA vkm'!$L42)/('NIR APA vkm'!$L26+'NIR APA vkm'!$L34+'NIR APA vkm'!$L42)</f>
        <v>0.28290651890799573</v>
      </c>
      <c r="Z118" s="216">
        <f>(Z76*'NIR APA vkm'!$L26+Z84*'NIR APA vkm'!$L34+Z92*'NIR APA vkm'!$L42)/('NIR APA vkm'!$L26+'NIR APA vkm'!$L34+'NIR APA vkm'!$L42)</f>
        <v>3.2235757650702086E-2</v>
      </c>
      <c r="AA118" s="216">
        <f>(AA76*'NIR APA vkm'!$L26+AA84*'NIR APA vkm'!$L34+AA92*'NIR APA vkm'!$L42)/('NIR APA vkm'!$L26+'NIR APA vkm'!$L34+'NIR APA vkm'!$L42)</f>
        <v>662.68709177005962</v>
      </c>
      <c r="AB118" s="216">
        <f>(AB76*'NIR APA vkm'!$L26+AB84*'NIR APA vkm'!$L34+AB92*'NIR APA vkm'!$L42)/('NIR APA vkm'!$L26+'NIR APA vkm'!$L34+'NIR APA vkm'!$L42)</f>
        <v>666.28502360556683</v>
      </c>
      <c r="AC118" s="216">
        <f>(AC76*'NIR APA vkm'!$L26+AC84*'NIR APA vkm'!$L34+AC92*'NIR APA vkm'!$L42)/('NIR APA vkm'!$L26+'NIR APA vkm'!$L34+'NIR APA vkm'!$L42)</f>
        <v>662.6283389601183</v>
      </c>
      <c r="AD118" s="216">
        <f>(AD76*'NIR APA vkm'!$L26+AD84*'NIR APA vkm'!$L34+AD92*'NIR APA vkm'!$L42)/('NIR APA vkm'!$L26+'NIR APA vkm'!$L34+'NIR APA vkm'!$L42)</f>
        <v>666.46784552446604</v>
      </c>
      <c r="AE118" s="216">
        <f>(AE76*'NIR APA vkm'!$L26+AE84*'NIR APA vkm'!$L34+AE92*'NIR APA vkm'!$L42)/('NIR APA vkm'!$L26+'NIR APA vkm'!$L34+'NIR APA vkm'!$L42)</f>
        <v>662.69602922374543</v>
      </c>
      <c r="AF118" s="216">
        <f>(AF76*'NIR APA vkm'!$L26+AF84*'NIR APA vkm'!$L34+AF92*'NIR APA vkm'!$L42)/('NIR APA vkm'!$L26+'NIR APA vkm'!$L34+'NIR APA vkm'!$L42)</f>
        <v>665.79499852151741</v>
      </c>
      <c r="AG118" s="216">
        <f>(AG76*'NIR APA vkm'!$L26+AG84*'NIR APA vkm'!$L34+AG92*'NIR APA vkm'!$L42)/('NIR APA vkm'!$L26+'NIR APA vkm'!$L34+'NIR APA vkm'!$L42)</f>
        <v>658.56845155671988</v>
      </c>
      <c r="AH118" s="216">
        <f>(AH76*'NIR APA vkm'!$L26+AH84*'NIR APA vkm'!$L34+AH92*'NIR APA vkm'!$L42)/('NIR APA vkm'!$L26+'NIR APA vkm'!$L34+'NIR APA vkm'!$L42)</f>
        <v>6.7503411547976205E-2</v>
      </c>
      <c r="AI118" s="216">
        <f>(AI76*'NIR APA vkm'!$L26+AI84*'NIR APA vkm'!$L34+AI92*'NIR APA vkm'!$L42)/('NIR APA vkm'!$L26+'NIR APA vkm'!$L34+'NIR APA vkm'!$L42)</f>
        <v>8.1878938870007852E-3</v>
      </c>
      <c r="AJ118" s="216">
        <f>(AJ76*'NIR APA vkm'!$L26+AJ84*'NIR APA vkm'!$L34+AJ92*'NIR APA vkm'!$L42)/('NIR APA vkm'!$L26+'NIR APA vkm'!$L34+'NIR APA vkm'!$L42)</f>
        <v>24.682742111382485</v>
      </c>
      <c r="AK118" t="s">
        <v>424</v>
      </c>
      <c r="AL118" t="s">
        <v>791</v>
      </c>
    </row>
    <row r="119" spans="1:38" ht="15.75" thickBot="1" x14ac:dyDescent="0.3">
      <c r="A119" s="4" t="s">
        <v>46</v>
      </c>
      <c r="B119" s="7" t="s">
        <v>16</v>
      </c>
      <c r="C119" s="5" t="s">
        <v>3</v>
      </c>
      <c r="D119" s="6" t="s">
        <v>10</v>
      </c>
      <c r="E119" s="6" t="str">
        <f t="shared" si="11"/>
        <v>Pesado de Mercadorias N3: Geral : Gasóleo : E3</v>
      </c>
      <c r="F119" s="6" t="s">
        <v>55</v>
      </c>
      <c r="G119" s="6" t="s">
        <v>96</v>
      </c>
      <c r="H119" s="9">
        <f>IF(G119="MJ",INDEX(Tabela1[Energia (MJ/Qtd.)],MATCH(C119,Tabela1[Fuel],0)),IF(G119="GJ",INDEX(Tabela1[Energia (GJ/Qtd.)2],MATCH(C119,Tabela1[Fuel],0)),"XXX"))</f>
        <v>3.5868000000000004E-2</v>
      </c>
      <c r="I119" s="216">
        <f>(I77*'NIR APA vkm'!$J27+I85*'NIR APA vkm'!$J35+I93*'NIR APA vkm'!$J43)/('NIR APA vkm'!$J27+'NIR APA vkm'!$J35+'NIR APA vkm'!$J43)</f>
        <v>74754.728876390058</v>
      </c>
      <c r="J119" s="216">
        <f>(J77*'NIR APA vkm'!$L27+J85*'NIR APA vkm'!$L35+J93*'NIR APA vkm'!$L43)/('NIR APA vkm'!$L27+'NIR APA vkm'!$L35+'NIR APA vkm'!$L43)</f>
        <v>75183.072898155006</v>
      </c>
      <c r="K119" s="216">
        <f>(K77*'NIR APA vkm'!$L27+K85*'NIR APA vkm'!$L35+K93*'NIR APA vkm'!$L43)/('NIR APA vkm'!$L27+'NIR APA vkm'!$L35+'NIR APA vkm'!$L43)</f>
        <v>74751.684055892416</v>
      </c>
      <c r="L119" s="216">
        <f>(L77*'NIR APA vkm'!$L27+L85*'NIR APA vkm'!$L35+L93*'NIR APA vkm'!$L43)/('NIR APA vkm'!$L27+'NIR APA vkm'!$L35+'NIR APA vkm'!$L43)</f>
        <v>75209.082450502261</v>
      </c>
      <c r="M119" s="216">
        <f>(M77*'NIR APA vkm'!$L27+M85*'NIR APA vkm'!$L35+M93*'NIR APA vkm'!$L43)/('NIR APA vkm'!$L27+'NIR APA vkm'!$L35+'NIR APA vkm'!$L43)</f>
        <v>74744.146865636067</v>
      </c>
      <c r="N119" s="216">
        <f>(N77*'NIR APA vkm'!$L27+N85*'NIR APA vkm'!$L35+N93*'NIR APA vkm'!$L43)/('NIR APA vkm'!$L27+'NIR APA vkm'!$L35+'NIR APA vkm'!$L43)</f>
        <v>75117.196644147698</v>
      </c>
      <c r="O119" s="216">
        <f>(O77*'NIR APA vkm'!$L27+O85*'NIR APA vkm'!$L35+O93*'NIR APA vkm'!$L43)/('NIR APA vkm'!$L27+'NIR APA vkm'!$L35+'NIR APA vkm'!$L43)</f>
        <v>74393.746068573557</v>
      </c>
      <c r="P119" s="216">
        <f>(P77*'NIR APA vkm'!$L27+P85*'NIR APA vkm'!$L35+P93*'NIR APA vkm'!$L43)/('NIR APA vkm'!$L27+'NIR APA vkm'!$L35+'NIR APA vkm'!$L43)</f>
        <v>8.0333385686199215</v>
      </c>
      <c r="Q119" s="216">
        <f>(Q77*'NIR APA vkm'!$L27+Q85*'NIR APA vkm'!$L35+Q93*'NIR APA vkm'!$L43)/('NIR APA vkm'!$L27+'NIR APA vkm'!$L35+'NIR APA vkm'!$L43)</f>
        <v>0.50190380150002722</v>
      </c>
      <c r="R119" s="216">
        <f>(R77*'NIR APA vkm'!$L27+R85*'NIR APA vkm'!$L35+R93*'NIR APA vkm'!$L43)/('NIR APA vkm'!$L27+'NIR APA vkm'!$L35+'NIR APA vkm'!$L43)</f>
        <v>2681.3086080223898</v>
      </c>
      <c r="S119" s="216">
        <f>(S77*'NIR APA vkm'!$L27+S85*'NIR APA vkm'!$L35+S93*'NIR APA vkm'!$L43)/('NIR APA vkm'!$L27+'NIR APA vkm'!$L35+'NIR APA vkm'!$L43)</f>
        <v>2696.666458711024</v>
      </c>
      <c r="T119" s="216">
        <f>(T77*'NIR APA vkm'!$L27+T85*'NIR APA vkm'!$L35+T93*'NIR APA vkm'!$L43)/('NIR APA vkm'!$L27+'NIR APA vkm'!$L35+'NIR APA vkm'!$L43)</f>
        <v>2681.1934037167498</v>
      </c>
      <c r="U119" s="216">
        <f>(U77*'NIR APA vkm'!$L27+U85*'NIR APA vkm'!$L35+U93*'NIR APA vkm'!$L43)/('NIR APA vkm'!$L27+'NIR APA vkm'!$L35+'NIR APA vkm'!$L43)</f>
        <v>2697.5993693346149</v>
      </c>
      <c r="V119" s="216">
        <f>(V77*'NIR APA vkm'!$L27+V85*'NIR APA vkm'!$L35+V93*'NIR APA vkm'!$L43)/('NIR APA vkm'!$L27+'NIR APA vkm'!$L35+'NIR APA vkm'!$L43)</f>
        <v>2680.9230597766341</v>
      </c>
      <c r="W119" s="216">
        <f>(W77*'NIR APA vkm'!$L27+W85*'NIR APA vkm'!$L35+W93*'NIR APA vkm'!$L43)/('NIR APA vkm'!$L27+'NIR APA vkm'!$L35+'NIR APA vkm'!$L43)</f>
        <v>2694.3036092322895</v>
      </c>
      <c r="X119" s="216">
        <f>(X77*'NIR APA vkm'!$L27+X85*'NIR APA vkm'!$L35+X93*'NIR APA vkm'!$L43)/('NIR APA vkm'!$L27+'NIR APA vkm'!$L35+'NIR APA vkm'!$L43)</f>
        <v>2668.3548839875966</v>
      </c>
      <c r="Y119" s="216">
        <f>(Y77*'NIR APA vkm'!$L27+Y85*'NIR APA vkm'!$L35+Y93*'NIR APA vkm'!$L43)/('NIR APA vkm'!$L27+'NIR APA vkm'!$L35+'NIR APA vkm'!$L43)</f>
        <v>0.28813978777925936</v>
      </c>
      <c r="Z119" s="216">
        <f>(Z77*'NIR APA vkm'!$L27+Z85*'NIR APA vkm'!$L35+Z93*'NIR APA vkm'!$L43)/('NIR APA vkm'!$L27+'NIR APA vkm'!$L35+'NIR APA vkm'!$L43)</f>
        <v>1.8002285552202978E-2</v>
      </c>
      <c r="AA119" s="216">
        <f>(AA77*'NIR APA vkm'!$L27+AA85*'NIR APA vkm'!$L35+AA93*'NIR APA vkm'!$L43)/('NIR APA vkm'!$L27+'NIR APA vkm'!$L35+'NIR APA vkm'!$L43)</f>
        <v>676.38692401120636</v>
      </c>
      <c r="AB119" s="216">
        <f>(AB77*'NIR APA vkm'!$L27+AB85*'NIR APA vkm'!$L35+AB93*'NIR APA vkm'!$L43)/('NIR APA vkm'!$L27+'NIR APA vkm'!$L35+'NIR APA vkm'!$L43)</f>
        <v>680.14999120137634</v>
      </c>
      <c r="AC119" s="216">
        <f>(AC77*'NIR APA vkm'!$L27+AC85*'NIR APA vkm'!$L35+AC93*'NIR APA vkm'!$L43)/('NIR APA vkm'!$L27+'NIR APA vkm'!$L35+'NIR APA vkm'!$L43)</f>
        <v>676.35609228041585</v>
      </c>
      <c r="AD119" s="216">
        <f>(AD77*'NIR APA vkm'!$L27+AD85*'NIR APA vkm'!$L35+AD93*'NIR APA vkm'!$L43)/('NIR APA vkm'!$L27+'NIR APA vkm'!$L35+'NIR APA vkm'!$L43)</f>
        <v>680.37564903638997</v>
      </c>
      <c r="AE119" s="216">
        <f>(AE77*'NIR APA vkm'!$L27+AE85*'NIR APA vkm'!$L35+AE93*'NIR APA vkm'!$L43)/('NIR APA vkm'!$L27+'NIR APA vkm'!$L35+'NIR APA vkm'!$L43)</f>
        <v>676.30059143719529</v>
      </c>
      <c r="AF119" s="216">
        <f>(AF77*'NIR APA vkm'!$L27+AF85*'NIR APA vkm'!$L35+AF93*'NIR APA vkm'!$L43)/('NIR APA vkm'!$L27+'NIR APA vkm'!$L35+'NIR APA vkm'!$L43)</f>
        <v>679.57623994041444</v>
      </c>
      <c r="AG119" s="216">
        <f>(AG77*'NIR APA vkm'!$L27+AG85*'NIR APA vkm'!$L35+AG93*'NIR APA vkm'!$L43)/('NIR APA vkm'!$L27+'NIR APA vkm'!$L35+'NIR APA vkm'!$L43)</f>
        <v>673.1240774758021</v>
      </c>
      <c r="AH119" s="216">
        <f>(AH77*'NIR APA vkm'!$L27+AH85*'NIR APA vkm'!$L35+AH93*'NIR APA vkm'!$L43)/('NIR APA vkm'!$L27+'NIR APA vkm'!$L35+'NIR APA vkm'!$L43)</f>
        <v>7.0601635838087692E-2</v>
      </c>
      <c r="AI119" s="216">
        <f>(AI77*'NIR APA vkm'!$L27+AI85*'NIR APA vkm'!$L35+AI93*'NIR APA vkm'!$L43)/('NIR APA vkm'!$L27+'NIR APA vkm'!$L35+'NIR APA vkm'!$L43)</f>
        <v>4.7364867967818712E-3</v>
      </c>
      <c r="AJ119" s="216">
        <f>(AJ77*'NIR APA vkm'!$L27+AJ85*'NIR APA vkm'!$L35+AJ93*'NIR APA vkm'!$L43)/('NIR APA vkm'!$L27+'NIR APA vkm'!$L35+'NIR APA vkm'!$L43)</f>
        <v>25.227024340267207</v>
      </c>
      <c r="AK119" t="s">
        <v>424</v>
      </c>
      <c r="AL119" t="s">
        <v>791</v>
      </c>
    </row>
    <row r="120" spans="1:38" ht="15.75" thickBot="1" x14ac:dyDescent="0.3">
      <c r="A120" s="4" t="s">
        <v>46</v>
      </c>
      <c r="B120" s="7" t="s">
        <v>16</v>
      </c>
      <c r="C120" s="5" t="s">
        <v>3</v>
      </c>
      <c r="D120" s="6" t="s">
        <v>4</v>
      </c>
      <c r="E120" s="6" t="str">
        <f t="shared" si="11"/>
        <v>Pesado de Mercadorias N3: Geral : Gasóleo : E4</v>
      </c>
      <c r="F120" s="6" t="s">
        <v>55</v>
      </c>
      <c r="G120" s="6" t="s">
        <v>96</v>
      </c>
      <c r="H120" s="9">
        <f>IF(G120="MJ",INDEX(Tabela1[Energia (MJ/Qtd.)],MATCH(C120,Tabela1[Fuel],0)),IF(G120="GJ",INDEX(Tabela1[Energia (GJ/Qtd.)2],MATCH(C120,Tabela1[Fuel],0)),"XXX"))</f>
        <v>3.5868000000000004E-2</v>
      </c>
      <c r="I120" s="216">
        <f>(I78*'NIR APA vkm'!$J28+I86*'NIR APA vkm'!$J36+I94*'NIR APA vkm'!$J44)/('NIR APA vkm'!$J28+'NIR APA vkm'!$J36+'NIR APA vkm'!$J44)</f>
        <v>75145.91914287761</v>
      </c>
      <c r="J120" s="216">
        <f>(J78*'NIR APA vkm'!$L28+J86*'NIR APA vkm'!$L36+J94*'NIR APA vkm'!$L44)/('NIR APA vkm'!$L28+'NIR APA vkm'!$L36+'NIR APA vkm'!$L44)</f>
        <v>75175.692056300089</v>
      </c>
      <c r="K120" s="216">
        <f>(K78*'NIR APA vkm'!$L28+K86*'NIR APA vkm'!$L36+K94*'NIR APA vkm'!$L44)/('NIR APA vkm'!$L28+'NIR APA vkm'!$L36+'NIR APA vkm'!$L44)</f>
        <v>75132.959943288923</v>
      </c>
      <c r="L120" s="216">
        <f>(L78*'NIR APA vkm'!$L28+L86*'NIR APA vkm'!$L36+L94*'NIR APA vkm'!$L44)/('NIR APA vkm'!$L28+'NIR APA vkm'!$L36+'NIR APA vkm'!$L44)</f>
        <v>75164.68705627264</v>
      </c>
      <c r="M120" s="216">
        <f>(M78*'NIR APA vkm'!$L28+M86*'NIR APA vkm'!$L36+M94*'NIR APA vkm'!$L44)/('NIR APA vkm'!$L28+'NIR APA vkm'!$L36+'NIR APA vkm'!$L44)</f>
        <v>75179.678988790023</v>
      </c>
      <c r="N120" s="216">
        <f>(N78*'NIR APA vkm'!$L28+N86*'NIR APA vkm'!$L36+N94*'NIR APA vkm'!$L44)/('NIR APA vkm'!$L28+'NIR APA vkm'!$L36+'NIR APA vkm'!$L44)</f>
        <v>75193.832899856934</v>
      </c>
      <c r="O120" s="216">
        <f>(O78*'NIR APA vkm'!$L28+O86*'NIR APA vkm'!$L36+O94*'NIR APA vkm'!$L44)/('NIR APA vkm'!$L28+'NIR APA vkm'!$L36+'NIR APA vkm'!$L44)</f>
        <v>74727.455032326558</v>
      </c>
      <c r="P120" s="216">
        <f>(P78*'NIR APA vkm'!$L28+P86*'NIR APA vkm'!$L36+P94*'NIR APA vkm'!$L44)/('NIR APA vkm'!$L28+'NIR APA vkm'!$L36+'NIR APA vkm'!$L44)</f>
        <v>0.58238220125884244</v>
      </c>
      <c r="Q120" s="216">
        <f>(Q78*'NIR APA vkm'!$L28+Q86*'NIR APA vkm'!$L36+Q94*'NIR APA vkm'!$L44)/('NIR APA vkm'!$L28+'NIR APA vkm'!$L36+'NIR APA vkm'!$L44)</f>
        <v>1.4686724880268383</v>
      </c>
      <c r="R120" s="216">
        <f>(R78*'NIR APA vkm'!$L28+R86*'NIR APA vkm'!$L36+R94*'NIR APA vkm'!$L44)/('NIR APA vkm'!$L28+'NIR APA vkm'!$L36+'NIR APA vkm'!$L44)</f>
        <v>2695.2883451158123</v>
      </c>
      <c r="S120" s="216">
        <f>(S78*'NIR APA vkm'!$L28+S86*'NIR APA vkm'!$L36+S94*'NIR APA vkm'!$L44)/('NIR APA vkm'!$L28+'NIR APA vkm'!$L36+'NIR APA vkm'!$L44)</f>
        <v>2696.4017226753722</v>
      </c>
      <c r="T120" s="216">
        <f>(T78*'NIR APA vkm'!$L28+T86*'NIR APA vkm'!$L36+T94*'NIR APA vkm'!$L44)/('NIR APA vkm'!$L28+'NIR APA vkm'!$L36+'NIR APA vkm'!$L44)</f>
        <v>2694.8690072458867</v>
      </c>
      <c r="U120" s="216">
        <f>(U78*'NIR APA vkm'!$L28+U86*'NIR APA vkm'!$L36+U94*'NIR APA vkm'!$L44)/('NIR APA vkm'!$L28+'NIR APA vkm'!$L36+'NIR APA vkm'!$L44)</f>
        <v>2696.0069953343873</v>
      </c>
      <c r="V120" s="216">
        <f>(V78*'NIR APA vkm'!$L28+V86*'NIR APA vkm'!$L36+V94*'NIR APA vkm'!$L44)/('NIR APA vkm'!$L28+'NIR APA vkm'!$L36+'NIR APA vkm'!$L44)</f>
        <v>2696.5447259699208</v>
      </c>
      <c r="W120" s="216">
        <f>(W78*'NIR APA vkm'!$L28+W86*'NIR APA vkm'!$L36+W94*'NIR APA vkm'!$L44)/('NIR APA vkm'!$L28+'NIR APA vkm'!$L36+'NIR APA vkm'!$L44)</f>
        <v>2697.0523984520692</v>
      </c>
      <c r="X120" s="216">
        <f>(X78*'NIR APA vkm'!$L28+X86*'NIR APA vkm'!$L36+X94*'NIR APA vkm'!$L44)/('NIR APA vkm'!$L28+'NIR APA vkm'!$L36+'NIR APA vkm'!$L44)</f>
        <v>2680.3243570994896</v>
      </c>
      <c r="Y120" s="216">
        <f>(Y78*'NIR APA vkm'!$L28+Y86*'NIR APA vkm'!$L36+Y94*'NIR APA vkm'!$L44)/('NIR APA vkm'!$L28+'NIR APA vkm'!$L36+'NIR APA vkm'!$L44)</f>
        <v>2.0888884794752163E-2</v>
      </c>
      <c r="Z120" s="216">
        <f>(Z78*'NIR APA vkm'!$L28+Z86*'NIR APA vkm'!$L36+Z94*'NIR APA vkm'!$L44)/('NIR APA vkm'!$L28+'NIR APA vkm'!$L36+'NIR APA vkm'!$L44)</f>
        <v>5.2678344800546638E-2</v>
      </c>
      <c r="AA120" s="216">
        <f>(AA78*'NIR APA vkm'!$L28+AA86*'NIR APA vkm'!$L36+AA94*'NIR APA vkm'!$L44)/('NIR APA vkm'!$L28+'NIR APA vkm'!$L36+'NIR APA vkm'!$L44)</f>
        <v>613.50117259788988</v>
      </c>
      <c r="AB120" s="216">
        <f>(AB78*'NIR APA vkm'!$L28+AB86*'NIR APA vkm'!$L36+AB94*'NIR APA vkm'!$L44)/('NIR APA vkm'!$L28+'NIR APA vkm'!$L36+'NIR APA vkm'!$L44)</f>
        <v>613.74412329954487</v>
      </c>
      <c r="AC120" s="216">
        <f>(AC78*'NIR APA vkm'!$L28+AC86*'NIR APA vkm'!$L36+AC94*'NIR APA vkm'!$L44)/('NIR APA vkm'!$L28+'NIR APA vkm'!$L36+'NIR APA vkm'!$L44)</f>
        <v>613.40771296675086</v>
      </c>
      <c r="AD120" s="216">
        <f>(AD78*'NIR APA vkm'!$L28+AD86*'NIR APA vkm'!$L36+AD94*'NIR APA vkm'!$L44)/('NIR APA vkm'!$L28+'NIR APA vkm'!$L36+'NIR APA vkm'!$L44)</f>
        <v>613.65578948303778</v>
      </c>
      <c r="AE120" s="216">
        <f>(AE78*'NIR APA vkm'!$L28+AE86*'NIR APA vkm'!$L36+AE94*'NIR APA vkm'!$L44)/('NIR APA vkm'!$L28+'NIR APA vkm'!$L36+'NIR APA vkm'!$L44)</f>
        <v>613.78143966864127</v>
      </c>
      <c r="AF120" s="216">
        <f>(AF78*'NIR APA vkm'!$L28+AF86*'NIR APA vkm'!$L36+AF94*'NIR APA vkm'!$L44)/('NIR APA vkm'!$L28+'NIR APA vkm'!$L36+'NIR APA vkm'!$L44)</f>
        <v>613.89001899118682</v>
      </c>
      <c r="AG120" s="216">
        <f>(AG78*'NIR APA vkm'!$L28+AG86*'NIR APA vkm'!$L36+AG94*'NIR APA vkm'!$L44)/('NIR APA vkm'!$L28+'NIR APA vkm'!$L36+'NIR APA vkm'!$L44)</f>
        <v>610.16913484576776</v>
      </c>
      <c r="AH120" s="216">
        <f>(AH78*'NIR APA vkm'!$L28+AH86*'NIR APA vkm'!$L36+AH94*'NIR APA vkm'!$L44)/('NIR APA vkm'!$L28+'NIR APA vkm'!$L36+'NIR APA vkm'!$L44)</f>
        <v>4.5581745151016713E-3</v>
      </c>
      <c r="AI120" s="216">
        <f>(AI78*'NIR APA vkm'!$L28+AI86*'NIR APA vkm'!$L36+AI94*'NIR APA vkm'!$L44)/('NIR APA vkm'!$L28+'NIR APA vkm'!$L36+'NIR APA vkm'!$L44)</f>
        <v>1.1739431073811969E-2</v>
      </c>
      <c r="AJ120" s="216">
        <f>(AJ78*'NIR APA vkm'!$L28+AJ86*'NIR APA vkm'!$L36+AJ94*'NIR APA vkm'!$L44)/('NIR APA vkm'!$L28+'NIR APA vkm'!$L36+'NIR APA vkm'!$L44)</f>
        <v>22.765037309791268</v>
      </c>
      <c r="AK120" t="s">
        <v>424</v>
      </c>
      <c r="AL120" t="s">
        <v>791</v>
      </c>
    </row>
    <row r="121" spans="1:38" ht="15.75" thickBot="1" x14ac:dyDescent="0.3">
      <c r="A121" s="4" t="s">
        <v>46</v>
      </c>
      <c r="B121" s="7" t="s">
        <v>16</v>
      </c>
      <c r="C121" s="5" t="s">
        <v>3</v>
      </c>
      <c r="D121" s="6" t="s">
        <v>5</v>
      </c>
      <c r="E121" s="6" t="str">
        <f t="shared" si="11"/>
        <v>Pesado de Mercadorias N3: Geral : Gasóleo : E5</v>
      </c>
      <c r="F121" s="6" t="s">
        <v>55</v>
      </c>
      <c r="G121" s="6" t="s">
        <v>96</v>
      </c>
      <c r="H121" s="9">
        <f>IF(G121="MJ",INDEX(Tabela1[Energia (MJ/Qtd.)],MATCH(C121,Tabela1[Fuel],0)),IF(G121="GJ",INDEX(Tabela1[Energia (GJ/Qtd.)2],MATCH(C121,Tabela1[Fuel],0)),"XXX"))</f>
        <v>3.5868000000000004E-2</v>
      </c>
      <c r="I121" s="216">
        <f>(I79*'NIR APA vkm'!$J29+I87*'NIR APA vkm'!$J37+I95*'NIR APA vkm'!$J45)/('NIR APA vkm'!$J29+'NIR APA vkm'!$J37+'NIR APA vkm'!$J45)</f>
        <v>75929.305402131038</v>
      </c>
      <c r="J121" s="216">
        <f>(J79*'NIR APA vkm'!$L29+J87*'NIR APA vkm'!$L37+J95*'NIR APA vkm'!$L45)/('NIR APA vkm'!$L29+'NIR APA vkm'!$L37+'NIR APA vkm'!$L45)</f>
        <v>75957.995111317767</v>
      </c>
      <c r="K121" s="216">
        <f>(K79*'NIR APA vkm'!$L29+K87*'NIR APA vkm'!$L37+K95*'NIR APA vkm'!$L45)/('NIR APA vkm'!$L29+'NIR APA vkm'!$L37+'NIR APA vkm'!$L45)</f>
        <v>75891.959109277901</v>
      </c>
      <c r="L121" s="216">
        <f>(L79*'NIR APA vkm'!$L29+L87*'NIR APA vkm'!$L37+L95*'NIR APA vkm'!$L45)/('NIR APA vkm'!$L29+'NIR APA vkm'!$L37+'NIR APA vkm'!$L45)</f>
        <v>75921.307804446114</v>
      </c>
      <c r="M121" s="216">
        <f>(M79*'NIR APA vkm'!$L29+M87*'NIR APA vkm'!$L37+M95*'NIR APA vkm'!$L45)/('NIR APA vkm'!$L29+'NIR APA vkm'!$L37+'NIR APA vkm'!$L45)</f>
        <v>76032.938437458477</v>
      </c>
      <c r="N121" s="216">
        <f>(N79*'NIR APA vkm'!$L29+N87*'NIR APA vkm'!$L37+N95*'NIR APA vkm'!$L45)/('NIR APA vkm'!$L29+'NIR APA vkm'!$L37+'NIR APA vkm'!$L45)</f>
        <v>76021.77285945219</v>
      </c>
      <c r="O121" s="216">
        <f>(O79*'NIR APA vkm'!$L29+O87*'NIR APA vkm'!$L37+O95*'NIR APA vkm'!$L45)/('NIR APA vkm'!$L29+'NIR APA vkm'!$L37+'NIR APA vkm'!$L45)</f>
        <v>74729.078076077276</v>
      </c>
      <c r="P121" s="216">
        <f>(P79*'NIR APA vkm'!$L29+P87*'NIR APA vkm'!$L37+P95*'NIR APA vkm'!$L45)/('NIR APA vkm'!$L29+'NIR APA vkm'!$L37+'NIR APA vkm'!$L45)</f>
        <v>0.5907807607727944</v>
      </c>
      <c r="Q121" s="216">
        <f>(Q79*'NIR APA vkm'!$L29+Q87*'NIR APA vkm'!$L37+Q95*'NIR APA vkm'!$L45)/('NIR APA vkm'!$L29+'NIR APA vkm'!$L37+'NIR APA vkm'!$L45)</f>
        <v>4.3258081958452088</v>
      </c>
      <c r="R121" s="216">
        <f>(R79*'NIR APA vkm'!$L29+R87*'NIR APA vkm'!$L37+R95*'NIR APA vkm'!$L45)/('NIR APA vkm'!$L29+'NIR APA vkm'!$L37+'NIR APA vkm'!$L45)</f>
        <v>2723.3319350260958</v>
      </c>
      <c r="S121" s="216">
        <f>(S79*'NIR APA vkm'!$L29+S87*'NIR APA vkm'!$L37+S95*'NIR APA vkm'!$L45)/('NIR APA vkm'!$L29+'NIR APA vkm'!$L37+'NIR APA vkm'!$L45)</f>
        <v>2724.4613686527459</v>
      </c>
      <c r="T121" s="216">
        <f>(T79*'NIR APA vkm'!$L29+T87*'NIR APA vkm'!$L37+T95*'NIR APA vkm'!$L45)/('NIR APA vkm'!$L29+'NIR APA vkm'!$L37+'NIR APA vkm'!$L45)</f>
        <v>2722.0927893315798</v>
      </c>
      <c r="U121" s="216">
        <f>(U79*'NIR APA vkm'!$L29+U87*'NIR APA vkm'!$L37+U95*'NIR APA vkm'!$L45)/('NIR APA vkm'!$L29+'NIR APA vkm'!$L37+'NIR APA vkm'!$L45)</f>
        <v>2723.145468329873</v>
      </c>
      <c r="V121" s="216">
        <f>(V79*'NIR APA vkm'!$L29+V87*'NIR APA vkm'!$L37+V95*'NIR APA vkm'!$L45)/('NIR APA vkm'!$L29+'NIR APA vkm'!$L37+'NIR APA vkm'!$L45)</f>
        <v>2727.1494358747605</v>
      </c>
      <c r="W121" s="216">
        <f>(W79*'NIR APA vkm'!$L29+W87*'NIR APA vkm'!$L37+W95*'NIR APA vkm'!$L45)/('NIR APA vkm'!$L29+'NIR APA vkm'!$L37+'NIR APA vkm'!$L45)</f>
        <v>2726.7489489228315</v>
      </c>
      <c r="X121" s="216">
        <f>(X79*'NIR APA vkm'!$L29+X87*'NIR APA vkm'!$L37+X95*'NIR APA vkm'!$L45)/('NIR APA vkm'!$L29+'NIR APA vkm'!$L37+'NIR APA vkm'!$L45)</f>
        <v>2680.3825724327398</v>
      </c>
      <c r="Y121" s="216">
        <f>(Y79*'NIR APA vkm'!$L29+Y87*'NIR APA vkm'!$L37+Y95*'NIR APA vkm'!$L45)/('NIR APA vkm'!$L29+'NIR APA vkm'!$L37+'NIR APA vkm'!$L45)</f>
        <v>2.1190124327398592E-2</v>
      </c>
      <c r="Z121" s="216">
        <f>(Z79*'NIR APA vkm'!$L29+Z87*'NIR APA vkm'!$L37+Z95*'NIR APA vkm'!$L45)/('NIR APA vkm'!$L29+'NIR APA vkm'!$L37+'NIR APA vkm'!$L45)</f>
        <v>0.15515808836857595</v>
      </c>
      <c r="AA121" s="216">
        <f>(AA79*'NIR APA vkm'!$L29+AA87*'NIR APA vkm'!$L37+AA95*'NIR APA vkm'!$L45)/('NIR APA vkm'!$L29+'NIR APA vkm'!$L37+'NIR APA vkm'!$L45)</f>
        <v>588.89778538625865</v>
      </c>
      <c r="AB121" s="216">
        <f>(AB79*'NIR APA vkm'!$L29+AB87*'NIR APA vkm'!$L37+AB95*'NIR APA vkm'!$L45)/('NIR APA vkm'!$L29+'NIR APA vkm'!$L37+'NIR APA vkm'!$L45)</f>
        <v>589.1453375758208</v>
      </c>
      <c r="AC121" s="216">
        <f>(AC79*'NIR APA vkm'!$L29+AC87*'NIR APA vkm'!$L37+AC95*'NIR APA vkm'!$L45)/('NIR APA vkm'!$L29+'NIR APA vkm'!$L37+'NIR APA vkm'!$L45)</f>
        <v>588.63323124712531</v>
      </c>
      <c r="AD121" s="216">
        <f>(AD79*'NIR APA vkm'!$L29+AD87*'NIR APA vkm'!$L37+AD95*'NIR APA vkm'!$L45)/('NIR APA vkm'!$L29+'NIR APA vkm'!$L37+'NIR APA vkm'!$L45)</f>
        <v>588.86484078653802</v>
      </c>
      <c r="AE121" s="216">
        <f>(AE79*'NIR APA vkm'!$L29+AE87*'NIR APA vkm'!$L37+AE95*'NIR APA vkm'!$L45)/('NIR APA vkm'!$L29+'NIR APA vkm'!$L37+'NIR APA vkm'!$L45)</f>
        <v>589.71249941081544</v>
      </c>
      <c r="AF121" s="216">
        <f>(AF79*'NIR APA vkm'!$L29+AF87*'NIR APA vkm'!$L37+AF95*'NIR APA vkm'!$L45)/('NIR APA vkm'!$L29+'NIR APA vkm'!$L37+'NIR APA vkm'!$L45)</f>
        <v>589.63264529674996</v>
      </c>
      <c r="AG121" s="216">
        <f>(AG79*'NIR APA vkm'!$L29+AG87*'NIR APA vkm'!$L37+AG95*'NIR APA vkm'!$L45)/('NIR APA vkm'!$L29+'NIR APA vkm'!$L37+'NIR APA vkm'!$L45)</f>
        <v>579.72444428260383</v>
      </c>
      <c r="AH121" s="216">
        <f>(AH79*'NIR APA vkm'!$L29+AH87*'NIR APA vkm'!$L37+AH95*'NIR APA vkm'!$L45)/('NIR APA vkm'!$L29+'NIR APA vkm'!$L37+'NIR APA vkm'!$L45)</f>
        <v>4.6445063707714219E-3</v>
      </c>
      <c r="AI121" s="216">
        <f>(AI79*'NIR APA vkm'!$L29+AI87*'NIR APA vkm'!$L37+AI95*'NIR APA vkm'!$L45)/('NIR APA vkm'!$L29+'NIR APA vkm'!$L37+'NIR APA vkm'!$L45)</f>
        <v>3.3127323721282707E-2</v>
      </c>
      <c r="AJ121" s="216">
        <f>(AJ79*'NIR APA vkm'!$L29+AJ87*'NIR APA vkm'!$L37+AJ95*'NIR APA vkm'!$L45)/('NIR APA vkm'!$L29+'NIR APA vkm'!$L37+'NIR APA vkm'!$L45)</f>
        <v>21.628527434455037</v>
      </c>
      <c r="AK121" t="s">
        <v>424</v>
      </c>
      <c r="AL121" t="s">
        <v>791</v>
      </c>
    </row>
    <row r="122" spans="1:38" ht="15.75" thickBot="1" x14ac:dyDescent="0.3">
      <c r="A122" s="4" t="s">
        <v>46</v>
      </c>
      <c r="B122" s="7" t="s">
        <v>16</v>
      </c>
      <c r="C122" s="5" t="s">
        <v>3</v>
      </c>
      <c r="D122" s="6" t="s">
        <v>6</v>
      </c>
      <c r="E122" s="6" t="str">
        <f t="shared" si="11"/>
        <v>Pesado de Mercadorias N3: Geral : Gasóleo : E6</v>
      </c>
      <c r="F122" s="6" t="s">
        <v>55</v>
      </c>
      <c r="G122" s="6" t="s">
        <v>96</v>
      </c>
      <c r="H122" s="9">
        <f>IF(G122="MJ",INDEX(Tabela1[Energia (MJ/Qtd.)],MATCH(C122,Tabela1[Fuel],0)),IF(G122="GJ",INDEX(Tabela1[Energia (GJ/Qtd.)2],MATCH(C122,Tabela1[Fuel],0)),"XXX"))</f>
        <v>3.5868000000000004E-2</v>
      </c>
      <c r="I122" s="216">
        <f>(I80*'NIR APA vkm'!$J30+I88*'NIR APA vkm'!$J38+I96*'NIR APA vkm'!$J46)/('NIR APA vkm'!$J30+'NIR APA vkm'!$J38+'NIR APA vkm'!$J46)</f>
        <v>75860.589686433843</v>
      </c>
      <c r="J122" s="216">
        <f>(J80*'NIR APA vkm'!$L30+J88*'NIR APA vkm'!$L38+J96*'NIR APA vkm'!$L46)/('NIR APA vkm'!$L30+'NIR APA vkm'!$L38+'NIR APA vkm'!$L46)</f>
        <v>75889.655974850233</v>
      </c>
      <c r="K122" s="216">
        <f>(K80*'NIR APA vkm'!$L30+K88*'NIR APA vkm'!$L38+K96*'NIR APA vkm'!$L46)/('NIR APA vkm'!$L30+'NIR APA vkm'!$L38+'NIR APA vkm'!$L46)</f>
        <v>75823.111821548096</v>
      </c>
      <c r="L122" s="216">
        <f>(L80*'NIR APA vkm'!$L30+L88*'NIR APA vkm'!$L38+L96*'NIR APA vkm'!$L46)/('NIR APA vkm'!$L30+'NIR APA vkm'!$L38+'NIR APA vkm'!$L46)</f>
        <v>75852.618211919762</v>
      </c>
      <c r="M122" s="216">
        <f>(M80*'NIR APA vkm'!$L30+M88*'NIR APA vkm'!$L38+M96*'NIR APA vkm'!$L46)/('NIR APA vkm'!$L30+'NIR APA vkm'!$L38+'NIR APA vkm'!$L46)</f>
        <v>75965.414153826176</v>
      </c>
      <c r="N122" s="216">
        <f>(N80*'NIR APA vkm'!$L30+N88*'NIR APA vkm'!$L38+N96*'NIR APA vkm'!$L46)/('NIR APA vkm'!$L30+'NIR APA vkm'!$L38+'NIR APA vkm'!$L46)</f>
        <v>75954.048260367606</v>
      </c>
      <c r="O122" s="216">
        <f>(O80*'NIR APA vkm'!$L30+O88*'NIR APA vkm'!$L38+O96*'NIR APA vkm'!$L46)/('NIR APA vkm'!$L30+'NIR APA vkm'!$L38+'NIR APA vkm'!$L46)</f>
        <v>74649.42562377757</v>
      </c>
      <c r="P122" s="216">
        <f>(P80*'NIR APA vkm'!$L30+P88*'NIR APA vkm'!$L38+P96*'NIR APA vkm'!$L46)/('NIR APA vkm'!$L30+'NIR APA vkm'!$L38+'NIR APA vkm'!$L46)</f>
        <v>0.59425623777566727</v>
      </c>
      <c r="Q122" s="216">
        <f>(Q80*'NIR APA vkm'!$L30+Q88*'NIR APA vkm'!$L38+Q96*'NIR APA vkm'!$L46)/('NIR APA vkm'!$L30+'NIR APA vkm'!$L38+'NIR APA vkm'!$L46)</f>
        <v>4.3662151815577808</v>
      </c>
      <c r="R122" s="216">
        <f>(R80*'NIR APA vkm'!$L30+R88*'NIR APA vkm'!$L38+R96*'NIR APA vkm'!$L46)/('NIR APA vkm'!$L30+'NIR APA vkm'!$L38+'NIR APA vkm'!$L46)</f>
        <v>2720.8741025860709</v>
      </c>
      <c r="S122" s="216">
        <f>(S80*'NIR APA vkm'!$L30+S88*'NIR APA vkm'!$L38+S96*'NIR APA vkm'!$L46)/('NIR APA vkm'!$L30+'NIR APA vkm'!$L38+'NIR APA vkm'!$L46)</f>
        <v>2722.010180505928</v>
      </c>
      <c r="T122" s="216">
        <f>(T80*'NIR APA vkm'!$L30+T88*'NIR APA vkm'!$L38+T96*'NIR APA vkm'!$L46)/('NIR APA vkm'!$L30+'NIR APA vkm'!$L38+'NIR APA vkm'!$L46)</f>
        <v>2719.6233748152868</v>
      </c>
      <c r="U122" s="216">
        <f>(U80*'NIR APA vkm'!$L30+U88*'NIR APA vkm'!$L38+U96*'NIR APA vkm'!$L46)/('NIR APA vkm'!$L30+'NIR APA vkm'!$L38+'NIR APA vkm'!$L46)</f>
        <v>2720.6817100251383</v>
      </c>
      <c r="V122" s="216">
        <f>(V80*'NIR APA vkm'!$L30+V88*'NIR APA vkm'!$L38+V96*'NIR APA vkm'!$L46)/('NIR APA vkm'!$L30+'NIR APA vkm'!$L38+'NIR APA vkm'!$L46)</f>
        <v>2724.7274748694376</v>
      </c>
      <c r="W122" s="216">
        <f>(W80*'NIR APA vkm'!$L30+W88*'NIR APA vkm'!$L38+W96*'NIR APA vkm'!$L46)/('NIR APA vkm'!$L30+'NIR APA vkm'!$L38+'NIR APA vkm'!$L46)</f>
        <v>2724.3198030028661</v>
      </c>
      <c r="X122" s="216">
        <f>(X80*'NIR APA vkm'!$L30+X88*'NIR APA vkm'!$L38+X96*'NIR APA vkm'!$L46)/('NIR APA vkm'!$L30+'NIR APA vkm'!$L38+'NIR APA vkm'!$L46)</f>
        <v>2677.5255982736539</v>
      </c>
      <c r="Y122" s="216">
        <f>(Y80*'NIR APA vkm'!$L30+Y88*'NIR APA vkm'!$L38+Y96*'NIR APA vkm'!$L46)/('NIR APA vkm'!$L30+'NIR APA vkm'!$L38+'NIR APA vkm'!$L46)</f>
        <v>2.1314782736537637E-2</v>
      </c>
      <c r="Z122" s="216">
        <f>(Z80*'NIR APA vkm'!$L30+Z88*'NIR APA vkm'!$L38+Z96*'NIR APA vkm'!$L46)/('NIR APA vkm'!$L30+'NIR APA vkm'!$L38+'NIR APA vkm'!$L46)</f>
        <v>0.15660740613211449</v>
      </c>
      <c r="AA122" s="216">
        <f>(AA80*'NIR APA vkm'!$L30+AA88*'NIR APA vkm'!$L38+AA96*'NIR APA vkm'!$L46)/('NIR APA vkm'!$L30+'NIR APA vkm'!$L38+'NIR APA vkm'!$L46)</f>
        <v>586.83815560746837</v>
      </c>
      <c r="AB122" s="216">
        <f>(AB80*'NIR APA vkm'!$L30+AB88*'NIR APA vkm'!$L38+AB96*'NIR APA vkm'!$L46)/('NIR APA vkm'!$L30+'NIR APA vkm'!$L38+'NIR APA vkm'!$L46)</f>
        <v>587.08842472869446</v>
      </c>
      <c r="AC122" s="216">
        <f>(AC80*'NIR APA vkm'!$L30+AC88*'NIR APA vkm'!$L38+AC96*'NIR APA vkm'!$L46)/('NIR APA vkm'!$L30+'NIR APA vkm'!$L38+'NIR APA vkm'!$L46)</f>
        <v>586.57194063756776</v>
      </c>
      <c r="AD122" s="216">
        <f>(AD80*'NIR APA vkm'!$L30+AD88*'NIR APA vkm'!$L38+AD96*'NIR APA vkm'!$L46)/('NIR APA vkm'!$L30+'NIR APA vkm'!$L38+'NIR APA vkm'!$L46)</f>
        <v>586.80624747263187</v>
      </c>
      <c r="AE122" s="216">
        <f>(AE80*'NIR APA vkm'!$L30+AE88*'NIR APA vkm'!$L38+AE96*'NIR APA vkm'!$L46)/('NIR APA vkm'!$L30+'NIR APA vkm'!$L38+'NIR APA vkm'!$L46)</f>
        <v>587.65792783210031</v>
      </c>
      <c r="AF122" s="216">
        <f>(AF80*'NIR APA vkm'!$L30+AF88*'NIR APA vkm'!$L38+AF96*'NIR APA vkm'!$L46)/('NIR APA vkm'!$L30+'NIR APA vkm'!$L38+'NIR APA vkm'!$L46)</f>
        <v>587.57859534220961</v>
      </c>
      <c r="AG122" s="216">
        <f>(AG80*'NIR APA vkm'!$L30+AG88*'NIR APA vkm'!$L38+AG96*'NIR APA vkm'!$L46)/('NIR APA vkm'!$L30+'NIR APA vkm'!$L38+'NIR APA vkm'!$L46)</f>
        <v>577.60654252024415</v>
      </c>
      <c r="AH122" s="216">
        <f>(AH80*'NIR APA vkm'!$L30+AH88*'NIR APA vkm'!$L38+AH96*'NIR APA vkm'!$L46)/('NIR APA vkm'!$L30+'NIR APA vkm'!$L38+'NIR APA vkm'!$L46)</f>
        <v>4.6954806984253411E-3</v>
      </c>
      <c r="AI122" s="216">
        <f>(AI80*'NIR APA vkm'!$L30+AI88*'NIR APA vkm'!$L38+AI96*'NIR APA vkm'!$L46)/('NIR APA vkm'!$L30+'NIR APA vkm'!$L38+'NIR APA vkm'!$L46)</f>
        <v>3.3335564746293685E-2</v>
      </c>
      <c r="AJ122" s="216">
        <f>(AJ80*'NIR APA vkm'!$L30+AJ88*'NIR APA vkm'!$L38+AJ96*'NIR APA vkm'!$L46)/('NIR APA vkm'!$L30+'NIR APA vkm'!$L38+'NIR APA vkm'!$L46)</f>
        <v>21.572475233626829</v>
      </c>
      <c r="AK122" t="s">
        <v>424</v>
      </c>
      <c r="AL122" t="s">
        <v>791</v>
      </c>
    </row>
    <row r="123" spans="1:38" ht="15.75" thickBot="1" x14ac:dyDescent="0.3">
      <c r="A123" s="4" t="s">
        <v>46</v>
      </c>
      <c r="B123" s="7" t="s">
        <v>16</v>
      </c>
      <c r="C123" s="5" t="s">
        <v>3</v>
      </c>
      <c r="D123" s="6" t="s">
        <v>81</v>
      </c>
      <c r="E123" s="6" t="str">
        <f t="shared" si="11"/>
        <v>Pesado de Mercadorias N3: Geral : Gasóleo : E6 D/E E7</v>
      </c>
      <c r="F123" s="6" t="s">
        <v>55</v>
      </c>
      <c r="G123" s="6" t="s">
        <v>96</v>
      </c>
      <c r="H123" s="9">
        <f>IF(G123="MJ",INDEX(Tabela1[Energia (MJ/Qtd.)],MATCH(C123,Tabela1[Fuel],0)),IF(G123="GJ",INDEX(Tabela1[Energia (GJ/Qtd.)2],MATCH(C123,Tabela1[Fuel],0)),"XXX"))</f>
        <v>3.5868000000000004E-2</v>
      </c>
      <c r="I123" s="216">
        <f>(I81*'NIR APA vkm'!$J31+I89*'NIR APA vkm'!$J39+I97*'NIR APA vkm'!$J47)/('NIR APA vkm'!$J31+'NIR APA vkm'!$J39+'NIR APA vkm'!$J47)</f>
        <v>75858.803056518431</v>
      </c>
      <c r="J123" s="216">
        <f>(J81*'NIR APA vkm'!$L31+J89*'NIR APA vkm'!$L39+J97*'NIR APA vkm'!$L47)/('NIR APA vkm'!$L31+'NIR APA vkm'!$L39+'NIR APA vkm'!$L47)</f>
        <v>75890.955237786809</v>
      </c>
      <c r="K123" s="216">
        <f>(K81*'NIR APA vkm'!$L31+K89*'NIR APA vkm'!$L39+K97*'NIR APA vkm'!$L47)/('NIR APA vkm'!$L31+'NIR APA vkm'!$L39+'NIR APA vkm'!$L47)</f>
        <v>75824.395571221248</v>
      </c>
      <c r="L123" s="216">
        <f>(L81*'NIR APA vkm'!$L31+L89*'NIR APA vkm'!$L39+L97*'NIR APA vkm'!$L47)/('NIR APA vkm'!$L31+'NIR APA vkm'!$L39+'NIR APA vkm'!$L47)</f>
        <v>75853.870037790577</v>
      </c>
      <c r="M123" s="216">
        <f>(M81*'NIR APA vkm'!$L31+M89*'NIR APA vkm'!$L39+M97*'NIR APA vkm'!$L47)/('NIR APA vkm'!$L31+'NIR APA vkm'!$L39+'NIR APA vkm'!$L47)</f>
        <v>75966.866688863345</v>
      </c>
      <c r="N123" s="216">
        <f>(N81*'NIR APA vkm'!$L31+N89*'NIR APA vkm'!$L39+N97*'NIR APA vkm'!$L47)/('NIR APA vkm'!$L31+'NIR APA vkm'!$L39+'NIR APA vkm'!$L47)</f>
        <v>75955.433007409898</v>
      </c>
      <c r="O123" s="216">
        <f>(O81*'NIR APA vkm'!$L31+O89*'NIR APA vkm'!$L39+O97*'NIR APA vkm'!$L47)/('NIR APA vkm'!$L31+'NIR APA vkm'!$L39+'NIR APA vkm'!$L47)</f>
        <v>74649.378515145363</v>
      </c>
      <c r="P123" s="216">
        <f>(P81*'NIR APA vkm'!$L31+P89*'NIR APA vkm'!$L39+P97*'NIR APA vkm'!$L47)/('NIR APA vkm'!$L31+'NIR APA vkm'!$L39+'NIR APA vkm'!$L47)</f>
        <v>0.59378515145360911</v>
      </c>
      <c r="Q123" s="216">
        <f>(Q81*'NIR APA vkm'!$L31+Q89*'NIR APA vkm'!$L39+Q97*'NIR APA vkm'!$L47)/('NIR APA vkm'!$L31+'NIR APA vkm'!$L39+'NIR APA vkm'!$L47)</f>
        <v>4.3712870635289853</v>
      </c>
      <c r="R123" s="216">
        <f>(R81*'NIR APA vkm'!$L31+R89*'NIR APA vkm'!$L39+R97*'NIR APA vkm'!$L47)/('NIR APA vkm'!$L31+'NIR APA vkm'!$L39+'NIR APA vkm'!$L47)</f>
        <v>2720.9216051551398</v>
      </c>
      <c r="S123" s="216">
        <f>(S81*'NIR APA vkm'!$L31+S89*'NIR APA vkm'!$L39+S97*'NIR APA vkm'!$L47)/('NIR APA vkm'!$L31+'NIR APA vkm'!$L39+'NIR APA vkm'!$L47)</f>
        <v>2722.0567824689369</v>
      </c>
      <c r="T123" s="216">
        <f>(T81*'NIR APA vkm'!$L31+T89*'NIR APA vkm'!$L39+T97*'NIR APA vkm'!$L47)/('NIR APA vkm'!$L31+'NIR APA vkm'!$L39+'NIR APA vkm'!$L47)</f>
        <v>2719.6694203485636</v>
      </c>
      <c r="U123" s="216">
        <f>(U81*'NIR APA vkm'!$L31+U89*'NIR APA vkm'!$L39+U97*'NIR APA vkm'!$L47)/('NIR APA vkm'!$L31+'NIR APA vkm'!$L39+'NIR APA vkm'!$L47)</f>
        <v>2720.7266105154727</v>
      </c>
      <c r="V123" s="216">
        <f>(V81*'NIR APA vkm'!$L31+V89*'NIR APA vkm'!$L39+V97*'NIR APA vkm'!$L47)/('NIR APA vkm'!$L31+'NIR APA vkm'!$L39+'NIR APA vkm'!$L47)</f>
        <v>2724.7795743961506</v>
      </c>
      <c r="W123" s="216">
        <f>(W81*'NIR APA vkm'!$L31+W89*'NIR APA vkm'!$L39+W97*'NIR APA vkm'!$L47)/('NIR APA vkm'!$L31+'NIR APA vkm'!$L39+'NIR APA vkm'!$L47)</f>
        <v>2724.3694711097783</v>
      </c>
      <c r="X123" s="216">
        <f>(X81*'NIR APA vkm'!$L31+X89*'NIR APA vkm'!$L39+X97*'NIR APA vkm'!$L47)/('NIR APA vkm'!$L31+'NIR APA vkm'!$L39+'NIR APA vkm'!$L47)</f>
        <v>2677.5239085812336</v>
      </c>
      <c r="Y123" s="216">
        <f>(Y81*'NIR APA vkm'!$L31+Y89*'NIR APA vkm'!$L39+Y97*'NIR APA vkm'!$L47)/('NIR APA vkm'!$L31+'NIR APA vkm'!$L39+'NIR APA vkm'!$L47)</f>
        <v>2.1297885812338054E-2</v>
      </c>
      <c r="Z123" s="216">
        <f>(Z81*'NIR APA vkm'!$L31+Z89*'NIR APA vkm'!$L39+Z97*'NIR APA vkm'!$L47)/('NIR APA vkm'!$L31+'NIR APA vkm'!$L39+'NIR APA vkm'!$L47)</f>
        <v>0.15678932439465765</v>
      </c>
      <c r="AA123" s="216">
        <f>(AA81*'NIR APA vkm'!$L31+AA89*'NIR APA vkm'!$L39+AA97*'NIR APA vkm'!$L47)/('NIR APA vkm'!$L31+'NIR APA vkm'!$L39+'NIR APA vkm'!$L47)</f>
        <v>591.52724167983172</v>
      </c>
      <c r="AB123" s="216">
        <f>(AB81*'NIR APA vkm'!$L31+AB89*'NIR APA vkm'!$L39+AB97*'NIR APA vkm'!$L47)/('NIR APA vkm'!$L31+'NIR APA vkm'!$L39+'NIR APA vkm'!$L47)</f>
        <v>591.7800636507958</v>
      </c>
      <c r="AC123" s="216">
        <f>(AC81*'NIR APA vkm'!$L31+AC89*'NIR APA vkm'!$L39+AC97*'NIR APA vkm'!$L47)/('NIR APA vkm'!$L31+'NIR APA vkm'!$L39+'NIR APA vkm'!$L47)</f>
        <v>591.26036727282121</v>
      </c>
      <c r="AD123" s="216">
        <f>(AD81*'NIR APA vkm'!$L31+AD89*'NIR APA vkm'!$L39+AD97*'NIR APA vkm'!$L47)/('NIR APA vkm'!$L31+'NIR APA vkm'!$L39+'NIR APA vkm'!$L47)</f>
        <v>591.49732114399592</v>
      </c>
      <c r="AE123" s="216">
        <f>(AE81*'NIR APA vkm'!$L31+AE89*'NIR APA vkm'!$L39+AE97*'NIR APA vkm'!$L47)/('NIR APA vkm'!$L31+'NIR APA vkm'!$L39+'NIR APA vkm'!$L47)</f>
        <v>592.34895071487517</v>
      </c>
      <c r="AF123" s="216">
        <f>(AF81*'NIR APA vkm'!$L31+AF89*'NIR APA vkm'!$L39+AF97*'NIR APA vkm'!$L47)/('NIR APA vkm'!$L31+'NIR APA vkm'!$L39+'NIR APA vkm'!$L47)</f>
        <v>592.27112207572338</v>
      </c>
      <c r="AG123" s="216">
        <f>(AG81*'NIR APA vkm'!$L31+AG89*'NIR APA vkm'!$L39+AG97*'NIR APA vkm'!$L47)/('NIR APA vkm'!$L31+'NIR APA vkm'!$L39+'NIR APA vkm'!$L47)</f>
        <v>582.27162556187704</v>
      </c>
      <c r="AH123" s="216">
        <f>(AH81*'NIR APA vkm'!$L31+AH89*'NIR APA vkm'!$L39+AH97*'NIR APA vkm'!$L47)/('NIR APA vkm'!$L31+'NIR APA vkm'!$L39+'NIR APA vkm'!$L47)</f>
        <v>4.7433765659297853E-3</v>
      </c>
      <c r="AI123" s="216">
        <f>(AI81*'NIR APA vkm'!$L31+AI89*'NIR APA vkm'!$L39+AI97*'NIR APA vkm'!$L47)/('NIR APA vkm'!$L31+'NIR APA vkm'!$L39+'NIR APA vkm'!$L47)</f>
        <v>3.3418593083388938E-2</v>
      </c>
      <c r="AJ123" s="216">
        <f>(AJ81*'NIR APA vkm'!$L31+AJ89*'NIR APA vkm'!$L39+AJ97*'NIR APA vkm'!$L47)/('NIR APA vkm'!$L31+'NIR APA vkm'!$L39+'NIR APA vkm'!$L47)</f>
        <v>21.746728362999562</v>
      </c>
      <c r="AK123" t="s">
        <v>424</v>
      </c>
      <c r="AL123" t="s">
        <v>791</v>
      </c>
    </row>
    <row r="124" spans="1:38" ht="15.75" thickBot="1" x14ac:dyDescent="0.3">
      <c r="A124" s="4" t="s">
        <v>2</v>
      </c>
      <c r="B124" s="7" t="s">
        <v>16</v>
      </c>
      <c r="C124" s="5" t="s">
        <v>3</v>
      </c>
      <c r="D124" s="6" t="s">
        <v>8</v>
      </c>
      <c r="E124" s="6" t="str">
        <f t="shared" si="11"/>
        <v>Pesado de Passageiros M3: Geral : Gasóleo : E0</v>
      </c>
      <c r="F124" s="6" t="s">
        <v>55</v>
      </c>
      <c r="G124" s="6" t="s">
        <v>96</v>
      </c>
      <c r="H124" s="9">
        <f>IF(G124="MJ",INDEX(Tabela1[Energia (MJ/Qtd.)],MATCH(C124,Tabela1[Fuel],0)),IF(G124="GJ",INDEX(Tabela1[Energia (GJ/Qtd.)2],MATCH(C124,Tabela1[Fuel],0)),"XXX"))</f>
        <v>3.5868000000000004E-2</v>
      </c>
      <c r="I124" s="216">
        <f>(I2*'NIR APA vkm'!$J2+I50*'NIR APA vkm'!$J16)/('NIR APA vkm'!$J2+'NIR APA vkm'!$J16)</f>
        <v>75055.285369948615</v>
      </c>
      <c r="J124" s="216">
        <f>(J2*'NIR APA vkm'!$L2+J50*'NIR APA vkm'!$L16)/('NIR APA vkm'!$L2+'NIR APA vkm'!$L16)</f>
        <v>75486.701280665831</v>
      </c>
      <c r="K124" s="216">
        <f>(K2*'NIR APA vkm'!$L2+K50*'NIR APA vkm'!$L16)/('NIR APA vkm'!$L2+'NIR APA vkm'!$L16)</f>
        <v>75065.507708066405</v>
      </c>
      <c r="L124" s="216">
        <f>(L2*'NIR APA vkm'!$L2+L50*'NIR APA vkm'!$L16)/('NIR APA vkm'!$L2+'NIR APA vkm'!$L16)</f>
        <v>75502.076737385752</v>
      </c>
      <c r="M124" s="216">
        <f>(M2*'NIR APA vkm'!$L2+M50*'NIR APA vkm'!$L16)/('NIR APA vkm'!$L2+'NIR APA vkm'!$L16)</f>
        <v>75093.165376497229</v>
      </c>
      <c r="N124" s="216">
        <f>(N2*'NIR APA vkm'!$L2+N50*'NIR APA vkm'!$L16)/('NIR APA vkm'!$L2+'NIR APA vkm'!$L16)</f>
        <v>75440.578969252267</v>
      </c>
      <c r="O124" s="216">
        <f>(O2*'NIR APA vkm'!$L2+O50*'NIR APA vkm'!$L16)/('NIR APA vkm'!$L2+'NIR APA vkm'!$L16)</f>
        <v>74443.033981887551</v>
      </c>
      <c r="P124" s="216">
        <f>(P2*'NIR APA vkm'!$L2+P50*'NIR APA vkm'!$L16)/('NIR APA vkm'!$L2+'NIR APA vkm'!$L16)</f>
        <v>7.6860679637751081</v>
      </c>
      <c r="Q124" s="216">
        <f>(Q2*'NIR APA vkm'!$L2+Q50*'NIR APA vkm'!$L16)/('NIR APA vkm'!$L2+'NIR APA vkm'!$L16)</f>
        <v>1.536844615823181</v>
      </c>
      <c r="R124" s="216">
        <f>(R2*'NIR APA vkm'!$L2+R50*'NIR APA vkm'!$L16)/('NIR APA vkm'!$L2+'NIR APA vkm'!$L16)</f>
        <v>2692.8630504257958</v>
      </c>
      <c r="S124" s="216">
        <f>(S2*'NIR APA vkm'!$L2+S50*'NIR APA vkm'!$L16)/('NIR APA vkm'!$L2+'NIR APA vkm'!$L16)</f>
        <v>2707.5570015349217</v>
      </c>
      <c r="T124" s="216">
        <f>(T2*'NIR APA vkm'!$L2+T50*'NIR APA vkm'!$L16)/('NIR APA vkm'!$L2+'NIR APA vkm'!$L16)</f>
        <v>2692.4496304729259</v>
      </c>
      <c r="U124" s="216">
        <f>(U2*'NIR APA vkm'!$L2+U50*'NIR APA vkm'!$L16)/('NIR APA vkm'!$L2+'NIR APA vkm'!$L16)</f>
        <v>2708.1084884165525</v>
      </c>
      <c r="V124" s="216">
        <f>(V2*'NIR APA vkm'!$L2+V50*'NIR APA vkm'!$L16)/('NIR APA vkm'!$L2+'NIR APA vkm'!$L16)</f>
        <v>2693.441655724203</v>
      </c>
      <c r="W124" s="216">
        <f>(W2*'NIR APA vkm'!$L2+W50*'NIR APA vkm'!$L16)/('NIR APA vkm'!$L2+'NIR APA vkm'!$L16)</f>
        <v>2705.90268646914</v>
      </c>
      <c r="X124" s="216">
        <f>(X2*'NIR APA vkm'!$L2+X50*'NIR APA vkm'!$L16)/('NIR APA vkm'!$L2+'NIR APA vkm'!$L16)</f>
        <v>2670.1227428623429</v>
      </c>
      <c r="Y124" s="216">
        <f>(Y2*'NIR APA vkm'!$L2+Y50*'NIR APA vkm'!$L16)/('NIR APA vkm'!$L2+'NIR APA vkm'!$L16)</f>
        <v>0.27568388572468555</v>
      </c>
      <c r="Z124" s="216">
        <f>(Z2*'NIR APA vkm'!$L2+Z50*'NIR APA vkm'!$L16)/('NIR APA vkm'!$L2+'NIR APA vkm'!$L16)</f>
        <v>5.5123542680345861E-2</v>
      </c>
      <c r="AA124" s="216">
        <f>(AA2*'NIR APA vkm'!$L2+AA50*'NIR APA vkm'!$L16)/('NIR APA vkm'!$L2+'NIR APA vkm'!$L16)</f>
        <v>1566.903948324592</v>
      </c>
      <c r="AB124" s="216">
        <f>(AB2*'NIR APA vkm'!$L2+AB50*'NIR APA vkm'!$L16)/('NIR APA vkm'!$L2+'NIR APA vkm'!$L16)</f>
        <v>1575.4910242686444</v>
      </c>
      <c r="AC124" s="216">
        <f>(AC2*'NIR APA vkm'!$L2+AC50*'NIR APA vkm'!$L16)/('NIR APA vkm'!$L2+'NIR APA vkm'!$L16)</f>
        <v>1566.68005916126</v>
      </c>
      <c r="AD124" s="216">
        <f>(AD2*'NIR APA vkm'!$L2+AD50*'NIR APA vkm'!$L16)/('NIR APA vkm'!$L2+'NIR APA vkm'!$L16)</f>
        <v>1575.8332360620291</v>
      </c>
      <c r="AE124" s="216">
        <f>(AE2*'NIR APA vkm'!$L2+AE50*'NIR APA vkm'!$L16)/('NIR APA vkm'!$L2+'NIR APA vkm'!$L16)</f>
        <v>1567.1867340612196</v>
      </c>
      <c r="AF124" s="216">
        <f>(AF2*'NIR APA vkm'!$L2+AF50*'NIR APA vkm'!$L16)/('NIR APA vkm'!$L2+'NIR APA vkm'!$L16)</f>
        <v>1574.4888272951871</v>
      </c>
      <c r="AG124" s="216">
        <f>(AG2*'NIR APA vkm'!$L2+AG50*'NIR APA vkm'!$L16)/('NIR APA vkm'!$L2+'NIR APA vkm'!$L16)</f>
        <v>1554.2190248942154</v>
      </c>
      <c r="AH124" s="216">
        <f>(AH2*'NIR APA vkm'!$L2+AH50*'NIR APA vkm'!$L16)/('NIR APA vkm'!$L2+'NIR APA vkm'!$L16)</f>
        <v>0.16110836668015915</v>
      </c>
      <c r="AI124" s="216">
        <f>(AI2*'NIR APA vkm'!$L2+AI50*'NIR APA vkm'!$L16)/('NIR APA vkm'!$L2+'NIR APA vkm'!$L16)</f>
        <v>0.03</v>
      </c>
      <c r="AJ124" s="216">
        <f>(AJ2*'NIR APA vkm'!$L2+AJ50*'NIR APA vkm'!$L16)/('NIR APA vkm'!$L2+'NIR APA vkm'!$L16)</f>
        <v>58.204899387998346</v>
      </c>
      <c r="AK124" t="s">
        <v>424</v>
      </c>
      <c r="AL124" t="s">
        <v>791</v>
      </c>
    </row>
    <row r="125" spans="1:38" ht="15.75" thickBot="1" x14ac:dyDescent="0.3">
      <c r="A125" s="4" t="s">
        <v>2</v>
      </c>
      <c r="B125" s="7" t="s">
        <v>16</v>
      </c>
      <c r="C125" s="5" t="s">
        <v>3</v>
      </c>
      <c r="D125" s="6" t="s">
        <v>7</v>
      </c>
      <c r="E125" s="6" t="str">
        <f t="shared" si="11"/>
        <v>Pesado de Passageiros M3: Geral : Gasóleo : E1</v>
      </c>
      <c r="F125" s="6" t="s">
        <v>55</v>
      </c>
      <c r="G125" s="6" t="s">
        <v>96</v>
      </c>
      <c r="H125" s="9">
        <f>IF(G125="MJ",INDEX(Tabela1[Energia (MJ/Qtd.)],MATCH(C125,Tabela1[Fuel],0)),IF(G125="GJ",INDEX(Tabela1[Energia (GJ/Qtd.)2],MATCH(C125,Tabela1[Fuel],0)),"XXX"))</f>
        <v>3.5868000000000004E-2</v>
      </c>
      <c r="I125" s="216">
        <f>(I3*'NIR APA vkm'!$J3+I51*'NIR APA vkm'!$J17)/('NIR APA vkm'!$J3+'NIR APA vkm'!$J17)</f>
        <v>74875.7626137279</v>
      </c>
      <c r="J125" s="216">
        <f>(J3*'NIR APA vkm'!$L3+J51*'NIR APA vkm'!$L17)/('NIR APA vkm'!$L3+'NIR APA vkm'!$L17)</f>
        <v>75333.626314892608</v>
      </c>
      <c r="K125" s="216">
        <f>(K3*'NIR APA vkm'!$L3+K51*'NIR APA vkm'!$L17)/('NIR APA vkm'!$L3+'NIR APA vkm'!$L17)</f>
        <v>74871.113613271373</v>
      </c>
      <c r="L125" s="216">
        <f>(L3*'NIR APA vkm'!$L3+L51*'NIR APA vkm'!$L17)/('NIR APA vkm'!$L3+'NIR APA vkm'!$L17)</f>
        <v>75360.497499757417</v>
      </c>
      <c r="M125" s="216">
        <f>(M3*'NIR APA vkm'!$L3+M51*'NIR APA vkm'!$L17)/('NIR APA vkm'!$L3+'NIR APA vkm'!$L17)</f>
        <v>74866.579617305397</v>
      </c>
      <c r="N125" s="216">
        <f>(N3*'NIR APA vkm'!$L3+N51*'NIR APA vkm'!$L17)/('NIR APA vkm'!$L3+'NIR APA vkm'!$L17)</f>
        <v>75264.840472004464</v>
      </c>
      <c r="O125" s="216">
        <f>(O3*'NIR APA vkm'!$L3+O51*'NIR APA vkm'!$L17)/('NIR APA vkm'!$L3+'NIR APA vkm'!$L17)</f>
        <v>74459.698309801577</v>
      </c>
      <c r="P125" s="216">
        <f>(P3*'NIR APA vkm'!$L3+P51*'NIR APA vkm'!$L17)/('NIR APA vkm'!$L3+'NIR APA vkm'!$L17)</f>
        <v>8.596983098015734</v>
      </c>
      <c r="Q125" s="216">
        <f>(Q3*'NIR APA vkm'!$L3+Q51*'NIR APA vkm'!$L17)/('NIR APA vkm'!$L3+'NIR APA vkm'!$L17)</f>
        <v>0.64415010085039981</v>
      </c>
      <c r="R125" s="216">
        <f>(R3*'NIR APA vkm'!$L3+R51*'NIR APA vkm'!$L17)/('NIR APA vkm'!$L3+'NIR APA vkm'!$L17)</f>
        <v>2685.6311024283805</v>
      </c>
      <c r="S125" s="216">
        <f>(S3*'NIR APA vkm'!$L3+S51*'NIR APA vkm'!$L17)/('NIR APA vkm'!$L3+'NIR APA vkm'!$L17)</f>
        <v>2702.0665086625686</v>
      </c>
      <c r="T125" s="216">
        <f>(T3*'NIR APA vkm'!$L3+T51*'NIR APA vkm'!$L17)/('NIR APA vkm'!$L3+'NIR APA vkm'!$L17)</f>
        <v>2685.4771030808174</v>
      </c>
      <c r="U125" s="216">
        <f>(U3*'NIR APA vkm'!$L3+U51*'NIR APA vkm'!$L17)/('NIR APA vkm'!$L3+'NIR APA vkm'!$L17)</f>
        <v>2703.0303243212993</v>
      </c>
      <c r="V125" s="216">
        <f>(V3*'NIR APA vkm'!$L3+V51*'NIR APA vkm'!$L17)/('NIR APA vkm'!$L3+'NIR APA vkm'!$L17)</f>
        <v>2685.3144777135094</v>
      </c>
      <c r="W125" s="216">
        <f>(W3*'NIR APA vkm'!$L3+W51*'NIR APA vkm'!$L17)/('NIR APA vkm'!$L3+'NIR APA vkm'!$L17)</f>
        <v>2699.5992980498563</v>
      </c>
      <c r="X125" s="216">
        <f>(X3*'NIR APA vkm'!$L3+X51*'NIR APA vkm'!$L17)/('NIR APA vkm'!$L3+'NIR APA vkm'!$L17)</f>
        <v>2670.7204589759631</v>
      </c>
      <c r="Y125" s="216">
        <f>(Y3*'NIR APA vkm'!$L3+Y51*'NIR APA vkm'!$L17)/('NIR APA vkm'!$L3+'NIR APA vkm'!$L17)</f>
        <v>0.30835658975962832</v>
      </c>
      <c r="Z125" s="216">
        <f>(Z3*'NIR APA vkm'!$L3+Z51*'NIR APA vkm'!$L17)/('NIR APA vkm'!$L3+'NIR APA vkm'!$L17)</f>
        <v>2.3104375817302149E-2</v>
      </c>
      <c r="AA125" s="216">
        <f>(AA3*'NIR APA vkm'!$L3+AA51*'NIR APA vkm'!$L17)/('NIR APA vkm'!$L3+'NIR APA vkm'!$L17)</f>
        <v>1392.7610158231653</v>
      </c>
      <c r="AB125" s="216">
        <f>(AB3*'NIR APA vkm'!$L3+AB51*'NIR APA vkm'!$L17)/('NIR APA vkm'!$L3+'NIR APA vkm'!$L17)</f>
        <v>1401.3063904584196</v>
      </c>
      <c r="AC125" s="216">
        <f>(AC3*'NIR APA vkm'!$L3+AC51*'NIR APA vkm'!$L17)/('NIR APA vkm'!$L3+'NIR APA vkm'!$L17)</f>
        <v>1392.6856871249095</v>
      </c>
      <c r="AD125" s="216">
        <f>(AD3*'NIR APA vkm'!$L3+AD51*'NIR APA vkm'!$L17)/('NIR APA vkm'!$L3+'NIR APA vkm'!$L17)</f>
        <v>1401.8128477172995</v>
      </c>
      <c r="AE125" s="216">
        <f>(AE3*'NIR APA vkm'!$L3+AE51*'NIR APA vkm'!$L17)/('NIR APA vkm'!$L3+'NIR APA vkm'!$L17)</f>
        <v>1392.5815745367586</v>
      </c>
      <c r="AF125" s="216">
        <f>(AF3*'NIR APA vkm'!$L3+AF51*'NIR APA vkm'!$L17)/('NIR APA vkm'!$L3+'NIR APA vkm'!$L17)</f>
        <v>1400.014114051605</v>
      </c>
      <c r="AG125" s="216">
        <f>(AG3*'NIR APA vkm'!$L3+AG51*'NIR APA vkm'!$L17)/('NIR APA vkm'!$L3+'NIR APA vkm'!$L17)</f>
        <v>1385.170216804443</v>
      </c>
      <c r="AH125" s="216">
        <f>(AH3*'NIR APA vkm'!$L3+AH51*'NIR APA vkm'!$L17)/('NIR APA vkm'!$L3+'NIR APA vkm'!$L17)</f>
        <v>0.16032597814735539</v>
      </c>
      <c r="AI125" s="216">
        <f>(AI3*'NIR APA vkm'!$L3+AI51*'NIR APA vkm'!$L17)/('NIR APA vkm'!$L3+'NIR APA vkm'!$L17)</f>
        <v>1.1420162008831416E-2</v>
      </c>
      <c r="AJ125" s="216">
        <f>(AJ3*'NIR APA vkm'!$L3+AJ51*'NIR APA vkm'!$L17)/('NIR APA vkm'!$L3+'NIR APA vkm'!$L17)</f>
        <v>51.861496176039161</v>
      </c>
      <c r="AK125" t="s">
        <v>424</v>
      </c>
      <c r="AL125" t="s">
        <v>791</v>
      </c>
    </row>
    <row r="126" spans="1:38" ht="15.75" thickBot="1" x14ac:dyDescent="0.3">
      <c r="A126" s="4" t="s">
        <v>2</v>
      </c>
      <c r="B126" s="7" t="s">
        <v>16</v>
      </c>
      <c r="C126" s="5" t="s">
        <v>3</v>
      </c>
      <c r="D126" s="6" t="s">
        <v>9</v>
      </c>
      <c r="E126" s="6" t="str">
        <f t="shared" si="11"/>
        <v>Pesado de Passageiros M3: Geral : Gasóleo : E2</v>
      </c>
      <c r="F126" s="6" t="s">
        <v>55</v>
      </c>
      <c r="G126" s="6" t="s">
        <v>96</v>
      </c>
      <c r="H126" s="9">
        <f>IF(G126="MJ",INDEX(Tabela1[Energia (MJ/Qtd.)],MATCH(C126,Tabela1[Fuel],0)),IF(G126="GJ",INDEX(Tabela1[Energia (GJ/Qtd.)2],MATCH(C126,Tabela1[Fuel],0)),"XXX"))</f>
        <v>3.5868000000000004E-2</v>
      </c>
      <c r="I126" s="216">
        <f>(I4*'NIR APA vkm'!$J4+I52*'NIR APA vkm'!$J18)/('NIR APA vkm'!$J4+'NIR APA vkm'!$J18)</f>
        <v>74795.005914008303</v>
      </c>
      <c r="J126" s="216">
        <f>(J4*'NIR APA vkm'!$L4+J52*'NIR APA vkm'!$L18)/('NIR APA vkm'!$L4+'NIR APA vkm'!$L18)</f>
        <v>75103.210099316304</v>
      </c>
      <c r="K126" s="216">
        <f>(K4*'NIR APA vkm'!$L4+K52*'NIR APA vkm'!$L18)/('NIR APA vkm'!$L4+'NIR APA vkm'!$L18)</f>
        <v>74789.300797826378</v>
      </c>
      <c r="L126" s="216">
        <f>(L4*'NIR APA vkm'!$L4+L52*'NIR APA vkm'!$L18)/('NIR APA vkm'!$L4+'NIR APA vkm'!$L18)</f>
        <v>75119.63309271264</v>
      </c>
      <c r="M126" s="216">
        <f>(M4*'NIR APA vkm'!$L4+M52*'NIR APA vkm'!$L18)/('NIR APA vkm'!$L4+'NIR APA vkm'!$L18)</f>
        <v>74792.56536227747</v>
      </c>
      <c r="N126" s="216">
        <f>(N4*'NIR APA vkm'!$L4+N52*'NIR APA vkm'!$L18)/('NIR APA vkm'!$L4+'NIR APA vkm'!$L18)</f>
        <v>75059.820490271319</v>
      </c>
      <c r="O126" s="216">
        <f>(O4*'NIR APA vkm'!$L4+O52*'NIR APA vkm'!$L18)/('NIR APA vkm'!$L4+'NIR APA vkm'!$L18)</f>
        <v>74460.629941197971</v>
      </c>
      <c r="P126" s="216">
        <f>(P4*'NIR APA vkm'!$L4+P52*'NIR APA vkm'!$L18)/('NIR APA vkm'!$L4+'NIR APA vkm'!$L18)</f>
        <v>5.8062994119797713</v>
      </c>
      <c r="Q126" s="216">
        <f>(Q4*'NIR APA vkm'!$L4+Q52*'NIR APA vkm'!$L18)/('NIR APA vkm'!$L4+'NIR APA vkm'!$L18)</f>
        <v>0.62677159657720793</v>
      </c>
      <c r="R126" s="216">
        <f>(R4*'NIR APA vkm'!$L4+R52*'NIR APA vkm'!$L18)/('NIR APA vkm'!$L4+'NIR APA vkm'!$L18)</f>
        <v>2682.7016633307139</v>
      </c>
      <c r="S126" s="216">
        <f>(S4*'NIR APA vkm'!$L4+S52*'NIR APA vkm'!$L18)/('NIR APA vkm'!$L4+'NIR APA vkm'!$L18)</f>
        <v>2693.8019398422775</v>
      </c>
      <c r="T126" s="216">
        <f>(T4*'NIR APA vkm'!$L4+T52*'NIR APA vkm'!$L18)/('NIR APA vkm'!$L4+'NIR APA vkm'!$L18)</f>
        <v>2682.5426410164364</v>
      </c>
      <c r="U126" s="216">
        <f>(U4*'NIR APA vkm'!$L4+U52*'NIR APA vkm'!$L18)/('NIR APA vkm'!$L4+'NIR APA vkm'!$L18)</f>
        <v>2694.3909997694172</v>
      </c>
      <c r="V126" s="216">
        <f>(V4*'NIR APA vkm'!$L4+V52*'NIR APA vkm'!$L18)/('NIR APA vkm'!$L4+'NIR APA vkm'!$L18)</f>
        <v>2682.6597344141692</v>
      </c>
      <c r="W126" s="216">
        <f>(W4*'NIR APA vkm'!$L4+W52*'NIR APA vkm'!$L18)/('NIR APA vkm'!$L4+'NIR APA vkm'!$L18)</f>
        <v>2692.2456413450523</v>
      </c>
      <c r="X126" s="216">
        <f>(X4*'NIR APA vkm'!$L4+X52*'NIR APA vkm'!$L18)/('NIR APA vkm'!$L4+'NIR APA vkm'!$L18)</f>
        <v>2670.7538747308895</v>
      </c>
      <c r="Y126" s="216">
        <f>(Y4*'NIR APA vkm'!$L4+Y52*'NIR APA vkm'!$L18)/('NIR APA vkm'!$L4+'NIR APA vkm'!$L18)</f>
        <v>0.20826034730889045</v>
      </c>
      <c r="Z126" s="216">
        <f>(Z4*'NIR APA vkm'!$L4+Z52*'NIR APA vkm'!$L18)/('NIR APA vkm'!$L4+'NIR APA vkm'!$L18)</f>
        <v>2.2481043626031295E-2</v>
      </c>
      <c r="AA126" s="216">
        <f>(AA4*'NIR APA vkm'!$L4+AA52*'NIR APA vkm'!$L18)/('NIR APA vkm'!$L4+'NIR APA vkm'!$L18)</f>
        <v>1348.4633301931549</v>
      </c>
      <c r="AB126" s="216">
        <f>(AB4*'NIR APA vkm'!$L4+AB52*'NIR APA vkm'!$L18)/('NIR APA vkm'!$L4+'NIR APA vkm'!$L18)</f>
        <v>1354.063809791239</v>
      </c>
      <c r="AC126" s="216">
        <f>(AC4*'NIR APA vkm'!$L4+AC52*'NIR APA vkm'!$L18)/('NIR APA vkm'!$L4+'NIR APA vkm'!$L18)</f>
        <v>1348.382560169204</v>
      </c>
      <c r="AD126" s="216">
        <f>(AD4*'NIR APA vkm'!$L4+AD52*'NIR APA vkm'!$L18)/('NIR APA vkm'!$L4+'NIR APA vkm'!$L18)</f>
        <v>1354.3604063382702</v>
      </c>
      <c r="AE126" s="216">
        <f>(AE4*'NIR APA vkm'!$L4+AE52*'NIR APA vkm'!$L18)/('NIR APA vkm'!$L4+'NIR APA vkm'!$L18)</f>
        <v>1348.4438558245672</v>
      </c>
      <c r="AF126" s="216">
        <f>(AF4*'NIR APA vkm'!$L4+AF52*'NIR APA vkm'!$L18)/('NIR APA vkm'!$L4+'NIR APA vkm'!$L18)</f>
        <v>1353.2796778619781</v>
      </c>
      <c r="AG126" s="216">
        <f>(AG4*'NIR APA vkm'!$L4+AG52*'NIR APA vkm'!$L18)/('NIR APA vkm'!$L4+'NIR APA vkm'!$L18)</f>
        <v>1342.4169027052872</v>
      </c>
      <c r="AH126" s="216">
        <f>(AH4*'NIR APA vkm'!$L4+AH52*'NIR APA vkm'!$L18)/('NIR APA vkm'!$L4+'NIR APA vkm'!$L18)</f>
        <v>0.10507466412915577</v>
      </c>
      <c r="AI126" s="216">
        <f>(AI4*'NIR APA vkm'!$L4+AI52*'NIR APA vkm'!$L18)/('NIR APA vkm'!$L4+'NIR APA vkm'!$L18)</f>
        <v>1.1409686295472564E-2</v>
      </c>
      <c r="AJ126" s="216">
        <f>(AJ4*'NIR APA vkm'!$L4+AJ52*'NIR APA vkm'!$L18)/('NIR APA vkm'!$L4+'NIR APA vkm'!$L18)</f>
        <v>50.26059188064351</v>
      </c>
      <c r="AK126" t="s">
        <v>424</v>
      </c>
      <c r="AL126" t="s">
        <v>791</v>
      </c>
    </row>
    <row r="127" spans="1:38" ht="15.75" thickBot="1" x14ac:dyDescent="0.3">
      <c r="A127" s="4" t="s">
        <v>2</v>
      </c>
      <c r="B127" s="7" t="s">
        <v>16</v>
      </c>
      <c r="C127" s="5" t="s">
        <v>3</v>
      </c>
      <c r="D127" s="6" t="s">
        <v>10</v>
      </c>
      <c r="E127" s="6" t="str">
        <f t="shared" si="11"/>
        <v>Pesado de Passageiros M3: Geral : Gasóleo : E3</v>
      </c>
      <c r="F127" s="6" t="s">
        <v>55</v>
      </c>
      <c r="G127" s="6" t="s">
        <v>96</v>
      </c>
      <c r="H127" s="9">
        <f>IF(G127="MJ",INDEX(Tabela1[Energia (MJ/Qtd.)],MATCH(C127,Tabela1[Fuel],0)),IF(G127="GJ",INDEX(Tabela1[Energia (GJ/Qtd.)2],MATCH(C127,Tabela1[Fuel],0)),"XXX"))</f>
        <v>3.5868000000000004E-2</v>
      </c>
      <c r="I127" s="216">
        <f>(I5*'NIR APA vkm'!$J5+I53*'NIR APA vkm'!$J19)/('NIR APA vkm'!$J5+'NIR APA vkm'!$J19)</f>
        <v>74696.675148724578</v>
      </c>
      <c r="J127" s="216">
        <f>(J5*'NIR APA vkm'!$L5+J53*'NIR APA vkm'!$L19)/('NIR APA vkm'!$L5+'NIR APA vkm'!$L19)</f>
        <v>74974.057781387135</v>
      </c>
      <c r="K127" s="216">
        <f>(K5*'NIR APA vkm'!$L5+K53*'NIR APA vkm'!$L19)/('NIR APA vkm'!$L5+'NIR APA vkm'!$L19)</f>
        <v>74693.576310213437</v>
      </c>
      <c r="L127" s="216">
        <f>(L5*'NIR APA vkm'!$L5+L53*'NIR APA vkm'!$L19)/('NIR APA vkm'!$L5+'NIR APA vkm'!$L19)</f>
        <v>74990.975868537149</v>
      </c>
      <c r="M127" s="216">
        <f>(M5*'NIR APA vkm'!$L5+M53*'NIR APA vkm'!$L19)/('NIR APA vkm'!$L5+'NIR APA vkm'!$L19)</f>
        <v>74688.650836669258</v>
      </c>
      <c r="N127" s="216">
        <f>(N5*'NIR APA vkm'!$L5+N53*'NIR APA vkm'!$L19)/('NIR APA vkm'!$L5+'NIR APA vkm'!$L19)</f>
        <v>74931.213242184138</v>
      </c>
      <c r="O127" s="216">
        <f>(O5*'NIR APA vkm'!$L5+O53*'NIR APA vkm'!$L19)/('NIR APA vkm'!$L5+'NIR APA vkm'!$L19)</f>
        <v>74461.045612868053</v>
      </c>
      <c r="P127" s="216">
        <f>(P5*'NIR APA vkm'!$L5+P53*'NIR APA vkm'!$L19)/('NIR APA vkm'!$L5+'NIR APA vkm'!$L19)</f>
        <v>5.2232481102975692</v>
      </c>
      <c r="Q127" s="216">
        <f>(Q5*'NIR APA vkm'!$L5+Q53*'NIR APA vkm'!$L19)/('NIR APA vkm'!$L5+'NIR APA vkm'!$L19)</f>
        <v>0.3255839632341434</v>
      </c>
      <c r="R127" s="216">
        <f>(R5*'NIR APA vkm'!$L5+R53*'NIR APA vkm'!$L19)/('NIR APA vkm'!$L5+'NIR APA vkm'!$L19)</f>
        <v>2679.1838847131598</v>
      </c>
      <c r="S127" s="216">
        <f>(S5*'NIR APA vkm'!$L5+S53*'NIR APA vkm'!$L19)/('NIR APA vkm'!$L5+'NIR APA vkm'!$L19)</f>
        <v>2689.1695045027941</v>
      </c>
      <c r="T127" s="216">
        <f>(T5*'NIR APA vkm'!$L5+T53*'NIR APA vkm'!$L19)/('NIR APA vkm'!$L5+'NIR APA vkm'!$L19)</f>
        <v>2679.1091950947352</v>
      </c>
      <c r="U127" s="216">
        <f>(U5*'NIR APA vkm'!$L5+U53*'NIR APA vkm'!$L19)/('NIR APA vkm'!$L5+'NIR APA vkm'!$L19)</f>
        <v>2689.7763224526911</v>
      </c>
      <c r="V127" s="216">
        <f>(V5*'NIR APA vkm'!$L5+V53*'NIR APA vkm'!$L19)/('NIR APA vkm'!$L5+'NIR APA vkm'!$L19)</f>
        <v>2678.9325282096529</v>
      </c>
      <c r="W127" s="216">
        <f>(W5*'NIR APA vkm'!$L5+W53*'NIR APA vkm'!$L19)/('NIR APA vkm'!$L5+'NIR APA vkm'!$L19)</f>
        <v>2687.6327565706611</v>
      </c>
      <c r="X127" s="216">
        <f>(X5*'NIR APA vkm'!$L5+X53*'NIR APA vkm'!$L19)/('NIR APA vkm'!$L5+'NIR APA vkm'!$L19)</f>
        <v>2670.7687840423514</v>
      </c>
      <c r="Y127" s="216">
        <f>(Y5*'NIR APA vkm'!$L5+Y53*'NIR APA vkm'!$L19)/('NIR APA vkm'!$L5+'NIR APA vkm'!$L19)</f>
        <v>0.18734746322015325</v>
      </c>
      <c r="Z127" s="216">
        <f>(Z5*'NIR APA vkm'!$L5+Z53*'NIR APA vkm'!$L19)/('NIR APA vkm'!$L5+'NIR APA vkm'!$L19)</f>
        <v>1.167804559328226E-2</v>
      </c>
      <c r="AA127" s="216">
        <f>(AA5*'NIR APA vkm'!$L5+AA53*'NIR APA vkm'!$L19)/('NIR APA vkm'!$L5+'NIR APA vkm'!$L19)</f>
        <v>1355.6319746365921</v>
      </c>
      <c r="AB127" s="216">
        <f>(AB5*'NIR APA vkm'!$L5+AB53*'NIR APA vkm'!$L19)/('NIR APA vkm'!$L5+'NIR APA vkm'!$L19)</f>
        <v>1360.7340892721343</v>
      </c>
      <c r="AC127" s="216">
        <f>(AC5*'NIR APA vkm'!$L5+AC53*'NIR APA vkm'!$L19)/('NIR APA vkm'!$L5+'NIR APA vkm'!$L19)</f>
        <v>1355.5950514213516</v>
      </c>
      <c r="AD127" s="216">
        <f>(AD5*'NIR APA vkm'!$L5+AD53*'NIR APA vkm'!$L19)/('NIR APA vkm'!$L5+'NIR APA vkm'!$L19)</f>
        <v>1361.0455346647182</v>
      </c>
      <c r="AE127" s="216">
        <f>(AE5*'NIR APA vkm'!$L5+AE53*'NIR APA vkm'!$L19)/('NIR APA vkm'!$L5+'NIR APA vkm'!$L19)</f>
        <v>1355.4996725994251</v>
      </c>
      <c r="AF127" s="216">
        <f>(AF5*'NIR APA vkm'!$L5+AF53*'NIR APA vkm'!$L19)/('NIR APA vkm'!$L5+'NIR APA vkm'!$L19)</f>
        <v>1359.9464154076827</v>
      </c>
      <c r="AG127" s="216">
        <f>(AG5*'NIR APA vkm'!$L5+AG53*'NIR APA vkm'!$L19)/('NIR APA vkm'!$L5+'NIR APA vkm'!$L19)</f>
        <v>1351.37459722373</v>
      </c>
      <c r="AH127" s="216">
        <f>(AH5*'NIR APA vkm'!$L5+AH53*'NIR APA vkm'!$L19)/('NIR APA vkm'!$L5+'NIR APA vkm'!$L19)</f>
        <v>9.5724477214676709E-2</v>
      </c>
      <c r="AI127" s="216">
        <f>(AI5*'NIR APA vkm'!$L5+AI53*'NIR APA vkm'!$L19)/('NIR APA vkm'!$L5+'NIR APA vkm'!$L19)</f>
        <v>5.8119578702290455E-3</v>
      </c>
      <c r="AJ127" s="216">
        <f>(AJ5*'NIR APA vkm'!$L5+AJ53*'NIR APA vkm'!$L19)/('NIR APA vkm'!$L5+'NIR APA vkm'!$L19)</f>
        <v>50.595817668379425</v>
      </c>
      <c r="AK127" t="s">
        <v>424</v>
      </c>
      <c r="AL127" t="s">
        <v>791</v>
      </c>
    </row>
    <row r="128" spans="1:38" ht="15.75" thickBot="1" x14ac:dyDescent="0.3">
      <c r="A128" s="4" t="s">
        <v>2</v>
      </c>
      <c r="B128" s="7" t="s">
        <v>16</v>
      </c>
      <c r="C128" s="5" t="s">
        <v>3</v>
      </c>
      <c r="D128" s="6" t="s">
        <v>4</v>
      </c>
      <c r="E128" s="6" t="str">
        <f t="shared" si="11"/>
        <v>Pesado de Passageiros M3: Geral : Gasóleo : E4</v>
      </c>
      <c r="F128" s="6" t="s">
        <v>55</v>
      </c>
      <c r="G128" s="6" t="s">
        <v>96</v>
      </c>
      <c r="H128" s="9">
        <f>IF(G128="MJ",INDEX(Tabela1[Energia (MJ/Qtd.)],MATCH(C128,Tabela1[Fuel],0)),IF(G128="GJ",INDEX(Tabela1[Energia (GJ/Qtd.)2],MATCH(C128,Tabela1[Fuel],0)),"XXX"))</f>
        <v>3.5868000000000004E-2</v>
      </c>
      <c r="I128" s="216">
        <f>(I6*'NIR APA vkm'!$J6+I54*'NIR APA vkm'!$J20)/('NIR APA vkm'!$J6+'NIR APA vkm'!$J20)</f>
        <v>75026.655123808945</v>
      </c>
      <c r="J128" s="216">
        <f>(J6*'NIR APA vkm'!$L6+J54*'NIR APA vkm'!$L20)/('NIR APA vkm'!$L6+'NIR APA vkm'!$L20)</f>
        <v>75043.553151279935</v>
      </c>
      <c r="K128" s="216">
        <f>(K6*'NIR APA vkm'!$L6+K54*'NIR APA vkm'!$L20)/('NIR APA vkm'!$L6+'NIR APA vkm'!$L20)</f>
        <v>75022.057226168268</v>
      </c>
      <c r="L128" s="216">
        <f>(L6*'NIR APA vkm'!$L6+L54*'NIR APA vkm'!$L20)/('NIR APA vkm'!$L6+'NIR APA vkm'!$L20)</f>
        <v>75037.680934251941</v>
      </c>
      <c r="M128" s="216">
        <f>(M6*'NIR APA vkm'!$L6+M54*'NIR APA vkm'!$L20)/('NIR APA vkm'!$L6+'NIR APA vkm'!$L20)</f>
        <v>75046.733967044114</v>
      </c>
      <c r="N128" s="216">
        <f>(N6*'NIR APA vkm'!$L6+N54*'NIR APA vkm'!$L20)/('NIR APA vkm'!$L6+'NIR APA vkm'!$L20)</f>
        <v>75053.289435559243</v>
      </c>
      <c r="O128" s="216">
        <f>(O6*'NIR APA vkm'!$L6+O54*'NIR APA vkm'!$L20)/('NIR APA vkm'!$L6+'NIR APA vkm'!$L20)</f>
        <v>74808.910115481209</v>
      </c>
      <c r="P128" s="216">
        <f>(P6*'NIR APA vkm'!$L6+P54*'NIR APA vkm'!$L20)/('NIR APA vkm'!$L6+'NIR APA vkm'!$L20)</f>
        <v>0.2876779060902393</v>
      </c>
      <c r="Q128" s="216">
        <f>(Q6*'NIR APA vkm'!$L6+Q54*'NIR APA vkm'!$L20)/('NIR APA vkm'!$L6+'NIR APA vkm'!$L20)</f>
        <v>0.7739325634585642</v>
      </c>
      <c r="R128" s="216">
        <f>(R6*'NIR APA vkm'!$L6+R54*'NIR APA vkm'!$L20)/('NIR APA vkm'!$L6+'NIR APA vkm'!$L20)</f>
        <v>2691.1121920505793</v>
      </c>
      <c r="S128" s="216">
        <f>(S6*'NIR APA vkm'!$L6+S54*'NIR APA vkm'!$L20)/('NIR APA vkm'!$L6+'NIR APA vkm'!$L20)</f>
        <v>2691.662164430109</v>
      </c>
      <c r="T128" s="216">
        <f>(T6*'NIR APA vkm'!$L6+T54*'NIR APA vkm'!$L20)/('NIR APA vkm'!$L6+'NIR APA vkm'!$L20)</f>
        <v>2690.891148588204</v>
      </c>
      <c r="U128" s="216">
        <f>(U6*'NIR APA vkm'!$L6+U54*'NIR APA vkm'!$L20)/('NIR APA vkm'!$L6+'NIR APA vkm'!$L20)</f>
        <v>2691.4515397497494</v>
      </c>
      <c r="V128" s="216">
        <f>(V6*'NIR APA vkm'!$L6+V54*'NIR APA vkm'!$L20)/('NIR APA vkm'!$L6+'NIR APA vkm'!$L20)</f>
        <v>2691.7762539299388</v>
      </c>
      <c r="W128" s="216">
        <f>(W6*'NIR APA vkm'!$L6+W54*'NIR APA vkm'!$L20)/('NIR APA vkm'!$L6+'NIR APA vkm'!$L20)</f>
        <v>2692.0113854746392</v>
      </c>
      <c r="X128" s="216">
        <f>(X6*'NIR APA vkm'!$L6+X54*'NIR APA vkm'!$L20)/('NIR APA vkm'!$L6+'NIR APA vkm'!$L20)</f>
        <v>2683.2459880220808</v>
      </c>
      <c r="Y128" s="216">
        <f>(Y6*'NIR APA vkm'!$L6+Y54*'NIR APA vkm'!$L20)/('NIR APA vkm'!$L6+'NIR APA vkm'!$L20)</f>
        <v>1.0318431135644705E-2</v>
      </c>
      <c r="Z128" s="216">
        <f>(Z6*'NIR APA vkm'!$L6+Z54*'NIR APA vkm'!$L20)/('NIR APA vkm'!$L6+'NIR APA vkm'!$L20)</f>
        <v>2.7759413186131784E-2</v>
      </c>
      <c r="AA128" s="216">
        <f>(AA6*'NIR APA vkm'!$L6+AA54*'NIR APA vkm'!$L20)/('NIR APA vkm'!$L6+'NIR APA vkm'!$L20)</f>
        <v>1213.5655046950876</v>
      </c>
      <c r="AB128" s="216">
        <f>(AB6*'NIR APA vkm'!$L6+AB54*'NIR APA vkm'!$L20)/('NIR APA vkm'!$L6+'NIR APA vkm'!$L20)</f>
        <v>1213.8256923436863</v>
      </c>
      <c r="AC128" s="216">
        <f>(AC6*'NIR APA vkm'!$L6+AC54*'NIR APA vkm'!$L20)/('NIR APA vkm'!$L6+'NIR APA vkm'!$L20)</f>
        <v>1213.4637210018032</v>
      </c>
      <c r="AD128" s="216">
        <f>(AD6*'NIR APA vkm'!$L6+AD54*'NIR APA vkm'!$L20)/('NIR APA vkm'!$L6+'NIR APA vkm'!$L20)</f>
        <v>1213.7291864758752</v>
      </c>
      <c r="AE128" s="216">
        <f>(AE6*'NIR APA vkm'!$L6+AE54*'NIR APA vkm'!$L20)/('NIR APA vkm'!$L6+'NIR APA vkm'!$L20)</f>
        <v>1213.8709476757981</v>
      </c>
      <c r="AF128" s="216">
        <f>(AF6*'NIR APA vkm'!$L6+AF54*'NIR APA vkm'!$L20)/('NIR APA vkm'!$L6+'NIR APA vkm'!$L20)</f>
        <v>1213.9853256057254</v>
      </c>
      <c r="AG128" s="216">
        <f>(AG6*'NIR APA vkm'!$L6+AG54*'NIR APA vkm'!$L20)/('NIR APA vkm'!$L6+'NIR APA vkm'!$L20)</f>
        <v>1209.9392820201763</v>
      </c>
      <c r="AH128" s="216">
        <f>(AH6*'NIR APA vkm'!$L6+AH54*'NIR APA vkm'!$L20)/('NIR APA vkm'!$L6+'NIR APA vkm'!$L20)</f>
        <v>4.8815693920981548E-3</v>
      </c>
      <c r="AI128" s="216">
        <f>(AI6*'NIR APA vkm'!$L6+AI54*'NIR APA vkm'!$L20)/('NIR APA vkm'!$L6+'NIR APA vkm'!$L20)</f>
        <v>1.2783981277917312E-2</v>
      </c>
      <c r="AJ128" s="216">
        <f>(AJ6*'NIR APA vkm'!$L6+AJ54*'NIR APA vkm'!$L20)/('NIR APA vkm'!$L6+'NIR APA vkm'!$L20)</f>
        <v>45.089605388540626</v>
      </c>
      <c r="AK128" t="s">
        <v>424</v>
      </c>
      <c r="AL128" t="s">
        <v>791</v>
      </c>
    </row>
    <row r="129" spans="1:38" ht="15.75" thickBot="1" x14ac:dyDescent="0.3">
      <c r="A129" s="4" t="s">
        <v>2</v>
      </c>
      <c r="B129" s="7" t="s">
        <v>16</v>
      </c>
      <c r="C129" s="5" t="s">
        <v>3</v>
      </c>
      <c r="D129" s="6" t="s">
        <v>5</v>
      </c>
      <c r="E129" s="6" t="str">
        <f t="shared" si="11"/>
        <v>Pesado de Passageiros M3: Geral : Gasóleo : E5</v>
      </c>
      <c r="F129" s="6" t="s">
        <v>55</v>
      </c>
      <c r="G129" s="6" t="s">
        <v>96</v>
      </c>
      <c r="H129" s="9">
        <f>IF(G129="MJ",INDEX(Tabela1[Energia (MJ/Qtd.)],MATCH(C129,Tabela1[Fuel],0)),IF(G129="GJ",INDEX(Tabela1[Energia (GJ/Qtd.)2],MATCH(C129,Tabela1[Fuel],0)),"XXX"))</f>
        <v>3.5868000000000004E-2</v>
      </c>
      <c r="I129" s="216">
        <f>(I7*'NIR APA vkm'!$J7+I55*'NIR APA vkm'!$J21)/('NIR APA vkm'!$J7+'NIR APA vkm'!$J21)</f>
        <v>75381.264670988778</v>
      </c>
      <c r="J129" s="216">
        <f>(J7*'NIR APA vkm'!$L7+J55*'NIR APA vkm'!$L21)/('NIR APA vkm'!$L7+'NIR APA vkm'!$L21)</f>
        <v>75406.766896628251</v>
      </c>
      <c r="K129" s="216">
        <f>(K7*'NIR APA vkm'!$L7+K55*'NIR APA vkm'!$L21)/('NIR APA vkm'!$L7+'NIR APA vkm'!$L21)</f>
        <v>75374.397665767843</v>
      </c>
      <c r="L129" s="216">
        <f>(L7*'NIR APA vkm'!$L7+L55*'NIR APA vkm'!$L21)/('NIR APA vkm'!$L7+'NIR APA vkm'!$L21)</f>
        <v>75388.598851731163</v>
      </c>
      <c r="M129" s="216">
        <f>(M7*'NIR APA vkm'!$L7+M55*'NIR APA vkm'!$L21)/('NIR APA vkm'!$L7+'NIR APA vkm'!$L21)</f>
        <v>75444.148225499812</v>
      </c>
      <c r="N129" s="216">
        <f>(N7*'NIR APA vkm'!$L7+N55*'NIR APA vkm'!$L21)/('NIR APA vkm'!$L7+'NIR APA vkm'!$L21)</f>
        <v>75438.364863717608</v>
      </c>
      <c r="O129" s="216">
        <f>(O7*'NIR APA vkm'!$L7+O55*'NIR APA vkm'!$L21)/('NIR APA vkm'!$L7+'NIR APA vkm'!$L21)</f>
        <v>74799.345983608757</v>
      </c>
      <c r="P129" s="216">
        <f>(P7*'NIR APA vkm'!$L7+P55*'NIR APA vkm'!$L21)/('NIR APA vkm'!$L7+'NIR APA vkm'!$L21)</f>
        <v>0.28668247951094789</v>
      </c>
      <c r="Q129" s="216">
        <f>(Q7*'NIR APA vkm'!$L7+Q55*'NIR APA vkm'!$L21)/('NIR APA vkm'!$L7+'NIR APA vkm'!$L21)</f>
        <v>2.1397153688029387</v>
      </c>
      <c r="R129" s="216">
        <f>(R7*'NIR APA vkm'!$L7+R55*'NIR APA vkm'!$L21)/('NIR APA vkm'!$L7+'NIR APA vkm'!$L21)</f>
        <v>2704.1418456898291</v>
      </c>
      <c r="S129" s="216">
        <f>(S7*'NIR APA vkm'!$L7+S55*'NIR APA vkm'!$L21)/('NIR APA vkm'!$L7+'NIR APA vkm'!$L21)</f>
        <v>2704.6899150482618</v>
      </c>
      <c r="T129" s="216">
        <f>(T7*'NIR APA vkm'!$L7+T55*'NIR APA vkm'!$L21)/('NIR APA vkm'!$L7+'NIR APA vkm'!$L21)</f>
        <v>2703.5288954757611</v>
      </c>
      <c r="U129" s="216">
        <f>(U7*'NIR APA vkm'!$L7+U55*'NIR APA vkm'!$L21)/('NIR APA vkm'!$L7+'NIR APA vkm'!$L21)</f>
        <v>2704.0382636138938</v>
      </c>
      <c r="V129" s="216">
        <f>(V7*'NIR APA vkm'!$L7+V55*'NIR APA vkm'!$L21)/('NIR APA vkm'!$L7+'NIR APA vkm'!$L21)</f>
        <v>2706.0307085522272</v>
      </c>
      <c r="W129" s="216">
        <f>(W7*'NIR APA vkm'!$L7+W55*'NIR APA vkm'!$L21)/('NIR APA vkm'!$L7+'NIR APA vkm'!$L21)</f>
        <v>2705.8232709318231</v>
      </c>
      <c r="X129" s="216">
        <f>(X7*'NIR APA vkm'!$L7+X55*'NIR APA vkm'!$L21)/('NIR APA vkm'!$L7+'NIR APA vkm'!$L21)</f>
        <v>2682.9029417400793</v>
      </c>
      <c r="Y129" s="216">
        <f>(Y7*'NIR APA vkm'!$L7+Y55*'NIR APA vkm'!$L21)/('NIR APA vkm'!$L7+'NIR APA vkm'!$L21)</f>
        <v>1.0282727175098679E-2</v>
      </c>
      <c r="Z129" s="216">
        <f>(Z7*'NIR APA vkm'!$L7+Z55*'NIR APA vkm'!$L21)/('NIR APA vkm'!$L7+'NIR APA vkm'!$L21)</f>
        <v>7.6747310848223796E-2</v>
      </c>
      <c r="AA129" s="216">
        <f>(AA7*'NIR APA vkm'!$L7+AA55*'NIR APA vkm'!$L21)/('NIR APA vkm'!$L7+'NIR APA vkm'!$L21)</f>
        <v>1234.8882632225946</v>
      </c>
      <c r="AB129" s="216">
        <f>(AB7*'NIR APA vkm'!$L7+AB55*'NIR APA vkm'!$L21)/('NIR APA vkm'!$L7+'NIR APA vkm'!$L21)</f>
        <v>1235.1468644897168</v>
      </c>
      <c r="AC129" s="216">
        <f>(AC7*'NIR APA vkm'!$L7+AC55*'NIR APA vkm'!$L21)/('NIR APA vkm'!$L7+'NIR APA vkm'!$L21)</f>
        <v>1234.6190039908322</v>
      </c>
      <c r="AD129" s="216">
        <f>(AD7*'NIR APA vkm'!$L7+AD55*'NIR APA vkm'!$L21)/('NIR APA vkm'!$L7+'NIR APA vkm'!$L21)</f>
        <v>1234.8618388891155</v>
      </c>
      <c r="AE129" s="216">
        <f>(AE7*'NIR APA vkm'!$L7+AE55*'NIR APA vkm'!$L21)/('NIR APA vkm'!$L7+'NIR APA vkm'!$L21)</f>
        <v>1235.7171442734718</v>
      </c>
      <c r="AF129" s="216">
        <f>(AF7*'NIR APA vkm'!$L7+AF55*'NIR APA vkm'!$L21)/('NIR APA vkm'!$L7+'NIR APA vkm'!$L21)</f>
        <v>1235.6417166980052</v>
      </c>
      <c r="AG129" s="216">
        <f>(AG7*'NIR APA vkm'!$L7+AG55*'NIR APA vkm'!$L21)/('NIR APA vkm'!$L7+'NIR APA vkm'!$L21)</f>
        <v>1225.5478697590243</v>
      </c>
      <c r="AH129" s="216">
        <f>(AH7*'NIR APA vkm'!$L7+AH55*'NIR APA vkm'!$L21)/('NIR APA vkm'!$L7+'NIR APA vkm'!$L21)</f>
        <v>4.8518061373773414E-3</v>
      </c>
      <c r="AI129" s="216">
        <f>(AI7*'NIR APA vkm'!$L7+AI55*'NIR APA vkm'!$L21)/('NIR APA vkm'!$L7+'NIR APA vkm'!$L21)</f>
        <v>3.3718051547024126E-2</v>
      </c>
      <c r="AJ129" s="216">
        <f>(AJ7*'NIR APA vkm'!$L7+AJ55*'NIR APA vkm'!$L21)/('NIR APA vkm'!$L7+'NIR APA vkm'!$L21)</f>
        <v>45.677384427883112</v>
      </c>
      <c r="AK129" t="s">
        <v>424</v>
      </c>
      <c r="AL129" t="s">
        <v>791</v>
      </c>
    </row>
    <row r="130" spans="1:38" ht="15.75" thickBot="1" x14ac:dyDescent="0.3">
      <c r="A130" s="4" t="s">
        <v>2</v>
      </c>
      <c r="B130" s="7" t="s">
        <v>16</v>
      </c>
      <c r="C130" s="5" t="s">
        <v>3</v>
      </c>
      <c r="D130" s="6" t="s">
        <v>6</v>
      </c>
      <c r="E130" s="6" t="str">
        <f t="shared" si="11"/>
        <v>Pesado de Passageiros M3: Geral : Gasóleo : E6</v>
      </c>
      <c r="F130" s="6" t="s">
        <v>55</v>
      </c>
      <c r="G130" s="6" t="s">
        <v>96</v>
      </c>
      <c r="H130" s="9">
        <f>IF(G130="MJ",INDEX(Tabela1[Energia (MJ/Qtd.)],MATCH(C130,Tabela1[Fuel],0)),IF(G130="GJ",INDEX(Tabela1[Energia (GJ/Qtd.)2],MATCH(C130,Tabela1[Fuel],0)),"XXX"))</f>
        <v>3.5868000000000004E-2</v>
      </c>
      <c r="I130" s="216">
        <f>(I8*'NIR APA vkm'!$J8+I56*'NIR APA vkm'!$J22)/('NIR APA vkm'!$J8+'NIR APA vkm'!$J22)</f>
        <v>75325.700707956756</v>
      </c>
      <c r="J130" s="216">
        <f>(J8*'NIR APA vkm'!$L8+J56*'NIR APA vkm'!$L22)/('NIR APA vkm'!$L8+'NIR APA vkm'!$L22)</f>
        <v>75344.451408368011</v>
      </c>
      <c r="K130" s="216">
        <f>(K8*'NIR APA vkm'!$L8+K56*'NIR APA vkm'!$L22)/('NIR APA vkm'!$L8+'NIR APA vkm'!$L22)</f>
        <v>75309.694406095994</v>
      </c>
      <c r="L130" s="216">
        <f>(L8*'NIR APA vkm'!$L8+L56*'NIR APA vkm'!$L22)/('NIR APA vkm'!$L8+'NIR APA vkm'!$L22)</f>
        <v>75323.718654529963</v>
      </c>
      <c r="M130" s="216">
        <f>(M8*'NIR APA vkm'!$L8+M56*'NIR APA vkm'!$L22)/('NIR APA vkm'!$L8+'NIR APA vkm'!$L22)</f>
        <v>75388.869774819046</v>
      </c>
      <c r="N130" s="216">
        <f>(N8*'NIR APA vkm'!$L8+N56*'NIR APA vkm'!$L22)/('NIR APA vkm'!$L8+'NIR APA vkm'!$L22)</f>
        <v>75380.604190574333</v>
      </c>
      <c r="O130" s="216">
        <f>(O8*'NIR APA vkm'!$L8+O56*'NIR APA vkm'!$L22)/('NIR APA vkm'!$L8+'NIR APA vkm'!$L22)</f>
        <v>74658.859188873481</v>
      </c>
      <c r="P130" s="216">
        <f>(P8*'NIR APA vkm'!$L8+P56*'NIR APA vkm'!$L22)/('NIR APA vkm'!$L8+'NIR APA vkm'!$L22)</f>
        <v>0.28859188873484065</v>
      </c>
      <c r="Q130" s="216">
        <f>(Q8*'NIR APA vkm'!$L8+Q56*'NIR APA vkm'!$L22)/('NIR APA vkm'!$L8+'NIR APA vkm'!$L22)</f>
        <v>2.4254892239167529</v>
      </c>
      <c r="R130" s="216">
        <f>(R8*'NIR APA vkm'!$L8+R56*'NIR APA vkm'!$L22)/('NIR APA vkm'!$L8+'NIR APA vkm'!$L22)</f>
        <v>2701.9030634163323</v>
      </c>
      <c r="S130" s="216">
        <f>(S8*'NIR APA vkm'!$L8+S56*'NIR APA vkm'!$L22)/('NIR APA vkm'!$L8+'NIR APA vkm'!$L22)</f>
        <v>2702.454783115345</v>
      </c>
      <c r="T130" s="216">
        <f>(T8*'NIR APA vkm'!$L8+T56*'NIR APA vkm'!$L22)/('NIR APA vkm'!$L8+'NIR APA vkm'!$L22)</f>
        <v>2701.2081189578516</v>
      </c>
      <c r="U130" s="216">
        <f>(U8*'NIR APA vkm'!$L8+U56*'NIR APA vkm'!$L22)/('NIR APA vkm'!$L8+'NIR APA vkm'!$L22)</f>
        <v>2701.711140700681</v>
      </c>
      <c r="V130" s="216">
        <f>(V8*'NIR APA vkm'!$L8+V56*'NIR APA vkm'!$L22)/('NIR APA vkm'!$L8+'NIR APA vkm'!$L22)</f>
        <v>2704.0479810832098</v>
      </c>
      <c r="W130" s="216">
        <f>(W8*'NIR APA vkm'!$L8+W56*'NIR APA vkm'!$L22)/('NIR APA vkm'!$L8+'NIR APA vkm'!$L22)</f>
        <v>2703.7515111075204</v>
      </c>
      <c r="X130" s="216">
        <f>(X8*'NIR APA vkm'!$L8+X56*'NIR APA vkm'!$L22)/('NIR APA vkm'!$L8+'NIR APA vkm'!$L22)</f>
        <v>2677.8639613865143</v>
      </c>
      <c r="Y130" s="216">
        <f>(Y8*'NIR APA vkm'!$L8+Y56*'NIR APA vkm'!$L22)/('NIR APA vkm'!$L8+'NIR APA vkm'!$L22)</f>
        <v>1.0351213865141266E-2</v>
      </c>
      <c r="Z130" s="216">
        <f>(Z8*'NIR APA vkm'!$L8+Z56*'NIR APA vkm'!$L22)/('NIR APA vkm'!$L8+'NIR APA vkm'!$L22)</f>
        <v>8.6997447483446094E-2</v>
      </c>
      <c r="AA130" s="216">
        <f>(AA8*'NIR APA vkm'!$L8+AA56*'NIR APA vkm'!$L22)/('NIR APA vkm'!$L8+'NIR APA vkm'!$L22)</f>
        <v>1314.6204783079213</v>
      </c>
      <c r="AB130" s="216">
        <f>(AB8*'NIR APA vkm'!$L8+AB56*'NIR APA vkm'!$L22)/('NIR APA vkm'!$L8+'NIR APA vkm'!$L22)</f>
        <v>1314.8821225432416</v>
      </c>
      <c r="AC130" s="216">
        <f>(AC8*'NIR APA vkm'!$L8+AC56*'NIR APA vkm'!$L22)/('NIR APA vkm'!$L8+'NIR APA vkm'!$L22)</f>
        <v>1314.2955493962463</v>
      </c>
      <c r="AD130" s="216">
        <f>(AD8*'NIR APA vkm'!$L8+AD56*'NIR APA vkm'!$L22)/('NIR APA vkm'!$L8+'NIR APA vkm'!$L22)</f>
        <v>1314.5346790770395</v>
      </c>
      <c r="AE130" s="216">
        <f>(AE8*'NIR APA vkm'!$L8+AE56*'NIR APA vkm'!$L22)/('NIR APA vkm'!$L8+'NIR APA vkm'!$L22)</f>
        <v>1315.6231793846937</v>
      </c>
      <c r="AF130" s="216">
        <f>(AF8*'NIR APA vkm'!$L8+AF56*'NIR APA vkm'!$L22)/('NIR APA vkm'!$L8+'NIR APA vkm'!$L22)</f>
        <v>1315.4878002893327</v>
      </c>
      <c r="AG130" s="216">
        <f>(AG8*'NIR APA vkm'!$L8+AG56*'NIR APA vkm'!$L22)/('NIR APA vkm'!$L8+'NIR APA vkm'!$L22)</f>
        <v>1303.3785693448854</v>
      </c>
      <c r="AH130" s="216">
        <f>(AH8*'NIR APA vkm'!$L8+AH56*'NIR APA vkm'!$L22)/('NIR APA vkm'!$L8+'NIR APA vkm'!$L22)</f>
        <v>4.908897473171735E-3</v>
      </c>
      <c r="AI130" s="216">
        <f>(AI8*'NIR APA vkm'!$L8+AI56*'NIR APA vkm'!$L22)/('NIR APA vkm'!$L8+'NIR APA vkm'!$L22)</f>
        <v>4.0677475177782009E-2</v>
      </c>
      <c r="AJ130" s="216">
        <f>(AJ8*'NIR APA vkm'!$L8+AJ56*'NIR APA vkm'!$L22)/('NIR APA vkm'!$L8+'NIR APA vkm'!$L22)</f>
        <v>48.672008603993085</v>
      </c>
      <c r="AK130" t="s">
        <v>424</v>
      </c>
      <c r="AL130" t="s">
        <v>791</v>
      </c>
    </row>
  </sheetData>
  <dataValidations count="4">
    <dataValidation type="list" allowBlank="1" showInputMessage="1" showErrorMessage="1" sqref="B2:B73">
      <formula1>"I, II, III, Geral"</formula1>
    </dataValidation>
    <dataValidation type="list" allowBlank="1" showInputMessage="1" showErrorMessage="1" sqref="C50:C57 C2:C9 C26:C33">
      <formula1>"Gasóleo, Gasolina, GPL, GNC, GNV, Butano, Propano, H2"</formula1>
    </dataValidation>
    <dataValidation type="list" allowBlank="1" showInputMessage="1" showErrorMessage="1" sqref="A2:A105 A114:A130">
      <formula1>"Pesado de Passageiros M3, Pesado de Passageiros M2, Ligeiro de Passageiros M1, Pesado de Mercadorias N3, Pesado de Mercadorias N2, Ligeiro de Mercadorias N1, Misto"</formula1>
    </dataValidation>
    <dataValidation type="list" allowBlank="1" showInputMessage="1" showErrorMessage="1" sqref="C10:C25 C34:C49 C58:C73 C114:C115">
      <formula1>"Gasóleo, Gasolina, GPL, GNC, GNL, Butano, Propano, H2"</formula1>
    </dataValidation>
  </dataValidations>
  <pageMargins left="0.7" right="0.7" top="0.75" bottom="0.75" header="0.3" footer="0.3"/>
  <customProperties>
    <customPr name="GUID" r:id="rId1"/>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5"/>
  <sheetViews>
    <sheetView topLeftCell="A313" zoomScale="70" zoomScaleNormal="70" workbookViewId="0">
      <selection activeCell="A329" sqref="A329:E335"/>
    </sheetView>
  </sheetViews>
  <sheetFormatPr defaultRowHeight="15" x14ac:dyDescent="0.25"/>
  <cols>
    <col min="1" max="1" width="56.42578125" customWidth="1"/>
    <col min="2" max="2" width="89.28515625" bestFit="1" customWidth="1"/>
    <col min="3" max="3" width="23.140625" customWidth="1"/>
    <col min="4" max="4" width="19" customWidth="1"/>
    <col min="5" max="5" width="24.85546875" customWidth="1"/>
    <col min="6" max="6" width="16.5703125" customWidth="1"/>
    <col min="7" max="7" width="18.28515625" customWidth="1"/>
    <col min="8" max="8" width="14.85546875" customWidth="1"/>
    <col min="10" max="11" width="14.5703125" customWidth="1"/>
    <col min="12" max="12" width="15.140625" customWidth="1"/>
    <col min="18" max="18" width="101.5703125" customWidth="1"/>
  </cols>
  <sheetData>
    <row r="1" spans="1:12" ht="18.75" x14ac:dyDescent="0.3">
      <c r="A1" s="264" t="s">
        <v>855</v>
      </c>
      <c r="B1" s="265"/>
      <c r="C1" s="266"/>
      <c r="D1" s="266"/>
      <c r="E1" s="266"/>
      <c r="F1" s="266"/>
      <c r="G1" s="266"/>
      <c r="H1" s="266"/>
      <c r="I1" s="266"/>
      <c r="J1" s="266"/>
    </row>
    <row r="2" spans="1:12" ht="15.75" x14ac:dyDescent="0.25">
      <c r="A2" s="267"/>
      <c r="B2" s="268"/>
      <c r="C2" s="266"/>
      <c r="D2" s="266"/>
      <c r="E2" s="266"/>
      <c r="F2" s="266"/>
      <c r="G2" s="266"/>
      <c r="H2" s="266"/>
      <c r="I2" s="266"/>
      <c r="J2" s="266"/>
    </row>
    <row r="3" spans="1:12" ht="15.75" x14ac:dyDescent="0.25">
      <c r="A3" s="269" t="s">
        <v>856</v>
      </c>
      <c r="B3" s="265"/>
      <c r="C3" s="270"/>
      <c r="D3" s="271"/>
      <c r="E3" s="271"/>
      <c r="F3" s="271"/>
      <c r="G3" s="271"/>
      <c r="H3" s="271"/>
      <c r="I3" s="271"/>
      <c r="J3" s="271"/>
    </row>
    <row r="4" spans="1:12" ht="15.75" x14ac:dyDescent="0.25">
      <c r="A4" s="460" t="s">
        <v>857</v>
      </c>
      <c r="B4" s="463" t="s">
        <v>414</v>
      </c>
      <c r="C4" s="463" t="s">
        <v>826</v>
      </c>
      <c r="D4" s="454" t="s">
        <v>858</v>
      </c>
      <c r="E4" s="455"/>
      <c r="F4" s="455"/>
      <c r="G4" s="455"/>
      <c r="H4" s="455"/>
      <c r="I4" s="456"/>
      <c r="J4" s="463" t="s">
        <v>859</v>
      </c>
    </row>
    <row r="5" spans="1:12" ht="15.75" x14ac:dyDescent="0.25">
      <c r="A5" s="461"/>
      <c r="B5" s="464"/>
      <c r="C5" s="464"/>
      <c r="D5" s="454" t="s">
        <v>860</v>
      </c>
      <c r="E5" s="456"/>
      <c r="F5" s="454" t="s">
        <v>861</v>
      </c>
      <c r="G5" s="456"/>
      <c r="H5" s="454" t="s">
        <v>862</v>
      </c>
      <c r="I5" s="456"/>
      <c r="J5" s="465"/>
    </row>
    <row r="6" spans="1:12" ht="31.5" x14ac:dyDescent="0.25">
      <c r="A6" s="462"/>
      <c r="B6" s="465"/>
      <c r="C6" s="465"/>
      <c r="D6" s="272" t="s">
        <v>863</v>
      </c>
      <c r="E6" s="272" t="s">
        <v>864</v>
      </c>
      <c r="F6" s="272" t="s">
        <v>863</v>
      </c>
      <c r="G6" s="272" t="s">
        <v>864</v>
      </c>
      <c r="H6" s="272" t="s">
        <v>863</v>
      </c>
      <c r="I6" s="272" t="s">
        <v>864</v>
      </c>
      <c r="J6" s="272" t="s">
        <v>865</v>
      </c>
    </row>
    <row r="7" spans="1:12" ht="15.75" x14ac:dyDescent="0.25">
      <c r="A7" s="457" t="s">
        <v>866</v>
      </c>
      <c r="B7" s="273" t="s">
        <v>867</v>
      </c>
      <c r="C7" s="273" t="s">
        <v>868</v>
      </c>
      <c r="D7" s="274">
        <f>1198.86/1000</f>
        <v>1.1988599999999998</v>
      </c>
      <c r="E7" s="275" t="s">
        <v>840</v>
      </c>
      <c r="F7" s="276">
        <f>41.27/1000000</f>
        <v>4.1270000000000003E-5</v>
      </c>
      <c r="G7" s="275" t="s">
        <v>840</v>
      </c>
      <c r="H7" s="276">
        <f>21.46/1000000</f>
        <v>2.1460000000000001E-5</v>
      </c>
      <c r="I7" s="275" t="s">
        <v>840</v>
      </c>
      <c r="J7" s="276">
        <v>50</v>
      </c>
      <c r="K7" s="19"/>
      <c r="L7" s="333">
        <f>D7/J7</f>
        <v>2.3977199999999997E-2</v>
      </c>
    </row>
    <row r="8" spans="1:12" ht="31.5" x14ac:dyDescent="0.25">
      <c r="A8" s="459"/>
      <c r="B8" s="273" t="s">
        <v>95</v>
      </c>
      <c r="C8" s="273" t="s">
        <v>869</v>
      </c>
      <c r="D8" s="274">
        <f>1339.89/1000</f>
        <v>1.33989</v>
      </c>
      <c r="E8" s="275" t="s">
        <v>840</v>
      </c>
      <c r="F8" s="276">
        <f>998.83/1000000</f>
        <v>9.9883000000000003E-4</v>
      </c>
      <c r="G8" s="275" t="s">
        <v>840</v>
      </c>
      <c r="H8" s="276">
        <f>1000/1000000</f>
        <v>1E-3</v>
      </c>
      <c r="I8" s="275" t="s">
        <v>840</v>
      </c>
      <c r="J8" s="276">
        <v>50</v>
      </c>
      <c r="K8" s="19"/>
      <c r="L8" s="333">
        <f t="shared" ref="L8:L17" si="0">D8/J8</f>
        <v>2.67978E-2</v>
      </c>
    </row>
    <row r="9" spans="1:12" ht="31.5" x14ac:dyDescent="0.25">
      <c r="A9" s="457" t="s">
        <v>870</v>
      </c>
      <c r="B9" s="273" t="s">
        <v>871</v>
      </c>
      <c r="C9" s="273" t="s">
        <v>872</v>
      </c>
      <c r="D9" s="274">
        <f>202.11/1000</f>
        <v>0.20211000000000001</v>
      </c>
      <c r="E9" s="275" t="s">
        <v>840</v>
      </c>
      <c r="F9" s="276">
        <f>27.95/1000000</f>
        <v>2.7949999999999998E-5</v>
      </c>
      <c r="G9" s="275" t="s">
        <v>840</v>
      </c>
      <c r="H9" s="276">
        <f>3.76/1000000</f>
        <v>3.7599999999999996E-6</v>
      </c>
      <c r="I9" s="275" t="s">
        <v>840</v>
      </c>
      <c r="J9" s="276">
        <v>1.6</v>
      </c>
      <c r="K9" s="19"/>
      <c r="L9" s="333">
        <f t="shared" si="0"/>
        <v>0.12631875000000001</v>
      </c>
    </row>
    <row r="10" spans="1:12" ht="31.5" x14ac:dyDescent="0.25">
      <c r="A10" s="458"/>
      <c r="B10" s="273" t="s">
        <v>873</v>
      </c>
      <c r="C10" s="273" t="s">
        <v>874</v>
      </c>
      <c r="D10" s="274">
        <f>140.6/1000</f>
        <v>0.1406</v>
      </c>
      <c r="E10" s="275" t="s">
        <v>840</v>
      </c>
      <c r="F10" s="276">
        <f>19.92/1000000</f>
        <v>1.9920000000000002E-5</v>
      </c>
      <c r="G10" s="275" t="s">
        <v>840</v>
      </c>
      <c r="H10" s="276">
        <f>2/1000000</f>
        <v>1.9999999999999999E-6</v>
      </c>
      <c r="I10" s="275" t="s">
        <v>840</v>
      </c>
      <c r="J10" s="276">
        <v>1.6</v>
      </c>
      <c r="K10" s="19"/>
      <c r="L10" s="333">
        <f t="shared" si="0"/>
        <v>8.7874999999999995E-2</v>
      </c>
    </row>
    <row r="11" spans="1:12" ht="31.5" x14ac:dyDescent="0.25">
      <c r="A11" s="458"/>
      <c r="B11" s="273" t="s">
        <v>875</v>
      </c>
      <c r="C11" s="273" t="s">
        <v>876</v>
      </c>
      <c r="D11" s="274">
        <f>192.46/1000</f>
        <v>0.19246000000000002</v>
      </c>
      <c r="E11" s="275" t="s">
        <v>840</v>
      </c>
      <c r="F11" s="276">
        <f>1.19/1000000</f>
        <v>1.19E-6</v>
      </c>
      <c r="G11" s="275" t="s">
        <v>840</v>
      </c>
      <c r="H11" s="276">
        <f>7.15/1000000</f>
        <v>7.1500000000000002E-6</v>
      </c>
      <c r="I11" s="275" t="s">
        <v>840</v>
      </c>
      <c r="J11" s="276">
        <v>1.6</v>
      </c>
      <c r="K11" s="19"/>
      <c r="L11" s="333">
        <f t="shared" si="0"/>
        <v>0.12028750000000001</v>
      </c>
    </row>
    <row r="12" spans="1:12" ht="31.5" x14ac:dyDescent="0.25">
      <c r="A12" s="458"/>
      <c r="B12" s="273" t="s">
        <v>877</v>
      </c>
      <c r="C12" s="273" t="s">
        <v>878</v>
      </c>
      <c r="D12" s="274">
        <f>191.9/1000</f>
        <v>0.19190000000000002</v>
      </c>
      <c r="E12" s="275" t="s">
        <v>840</v>
      </c>
      <c r="F12" s="276">
        <f>34.4/1000000</f>
        <v>3.4399999999999996E-5</v>
      </c>
      <c r="G12" s="275" t="s">
        <v>840</v>
      </c>
      <c r="H12" s="276">
        <f>0/1000000</f>
        <v>0</v>
      </c>
      <c r="I12" s="275" t="s">
        <v>840</v>
      </c>
      <c r="J12" s="276">
        <v>1.6</v>
      </c>
      <c r="K12" s="19"/>
      <c r="L12" s="333">
        <f t="shared" si="0"/>
        <v>0.1199375</v>
      </c>
    </row>
    <row r="13" spans="1:12" ht="31.5" x14ac:dyDescent="0.25">
      <c r="A13" s="457" t="s">
        <v>879</v>
      </c>
      <c r="B13" s="273" t="s">
        <v>42</v>
      </c>
      <c r="C13" s="273" t="s">
        <v>880</v>
      </c>
      <c r="D13" s="274">
        <f>260.23/1000</f>
        <v>0.26023000000000002</v>
      </c>
      <c r="E13" s="273" t="s">
        <v>840</v>
      </c>
      <c r="F13" s="276">
        <f>84.44/1000000</f>
        <v>8.4439999999999998E-5</v>
      </c>
      <c r="G13" s="273" t="s">
        <v>840</v>
      </c>
      <c r="H13" s="276">
        <f>8.95/1000000</f>
        <v>8.949999999999999E-6</v>
      </c>
      <c r="I13" s="273" t="s">
        <v>840</v>
      </c>
      <c r="J13" s="276">
        <v>2</v>
      </c>
      <c r="K13" s="19"/>
      <c r="L13" s="333">
        <f t="shared" si="0"/>
        <v>0.13011500000000001</v>
      </c>
    </row>
    <row r="14" spans="1:12" ht="31.5" x14ac:dyDescent="0.25">
      <c r="A14" s="459"/>
      <c r="B14" s="273" t="s">
        <v>881</v>
      </c>
      <c r="C14" s="273" t="s">
        <v>882</v>
      </c>
      <c r="D14" s="274">
        <f>229.8/1000</f>
        <v>0.2298</v>
      </c>
      <c r="E14" s="273" t="s">
        <v>840</v>
      </c>
      <c r="F14" s="276">
        <f>2.87/1000000</f>
        <v>2.8700000000000001E-6</v>
      </c>
      <c r="G14" s="273" t="s">
        <v>840</v>
      </c>
      <c r="H14" s="276">
        <f>6.3/1000000</f>
        <v>6.2999999999999998E-6</v>
      </c>
      <c r="I14" s="273" t="s">
        <v>840</v>
      </c>
      <c r="J14" s="276">
        <v>2</v>
      </c>
      <c r="K14" s="19"/>
      <c r="L14" s="333">
        <f t="shared" si="0"/>
        <v>0.1149</v>
      </c>
    </row>
    <row r="15" spans="1:12" ht="47.25" x14ac:dyDescent="0.25">
      <c r="A15" s="457" t="s">
        <v>883</v>
      </c>
      <c r="B15" s="273" t="s">
        <v>884</v>
      </c>
      <c r="C15" s="273" t="s">
        <v>884</v>
      </c>
      <c r="D15" s="274">
        <f>70.89/1000</f>
        <v>7.0889999999999995E-2</v>
      </c>
      <c r="E15" s="273" t="s">
        <v>840</v>
      </c>
      <c r="F15" s="276">
        <f>116.21/1000000</f>
        <v>1.1621E-4</v>
      </c>
      <c r="G15" s="273"/>
      <c r="H15" s="276">
        <f>1/1000000</f>
        <v>9.9999999999999995E-7</v>
      </c>
      <c r="I15" s="273"/>
      <c r="J15" s="276">
        <v>1</v>
      </c>
      <c r="K15" s="19"/>
      <c r="L15" s="333">
        <f t="shared" si="0"/>
        <v>7.0889999999999995E-2</v>
      </c>
    </row>
    <row r="16" spans="1:12" ht="31.5" x14ac:dyDescent="0.25">
      <c r="A16" s="459"/>
      <c r="B16" s="273" t="s">
        <v>885</v>
      </c>
      <c r="C16" s="273" t="s">
        <v>886</v>
      </c>
      <c r="D16" s="274">
        <f>127.49</f>
        <v>127.49</v>
      </c>
      <c r="E16" s="273" t="s">
        <v>840</v>
      </c>
      <c r="F16" s="276">
        <f>54.11/1000000</f>
        <v>5.4110000000000002E-5</v>
      </c>
      <c r="G16" s="273"/>
      <c r="H16" s="276">
        <f>2/1000000</f>
        <v>1.9999999999999999E-6</v>
      </c>
      <c r="I16" s="273"/>
      <c r="J16" s="276">
        <v>1</v>
      </c>
      <c r="K16" s="19"/>
      <c r="L16" s="333">
        <f t="shared" si="0"/>
        <v>127.49</v>
      </c>
    </row>
    <row r="17" spans="1:12" ht="31.5" x14ac:dyDescent="0.25">
      <c r="A17" s="277" t="s">
        <v>887</v>
      </c>
      <c r="B17" s="275" t="s">
        <v>3</v>
      </c>
      <c r="C17" s="275" t="s">
        <v>888</v>
      </c>
      <c r="D17" s="278">
        <f>559.58/1000</f>
        <v>0.55958000000000008</v>
      </c>
      <c r="E17" s="275" t="s">
        <v>840</v>
      </c>
      <c r="F17" s="279">
        <f>19.19/1000000</f>
        <v>1.9190000000000001E-5</v>
      </c>
      <c r="G17" s="275" t="s">
        <v>840</v>
      </c>
      <c r="H17" s="279">
        <f>24.86</f>
        <v>24.86</v>
      </c>
      <c r="I17" s="275" t="s">
        <v>840</v>
      </c>
      <c r="J17" s="279">
        <v>2</v>
      </c>
      <c r="K17" s="19"/>
      <c r="L17" s="333">
        <f t="shared" si="0"/>
        <v>0.27979000000000004</v>
      </c>
    </row>
    <row r="18" spans="1:12" ht="15.75" x14ac:dyDescent="0.25">
      <c r="A18" s="280"/>
      <c r="B18" s="281"/>
      <c r="C18" s="282"/>
      <c r="D18" s="283"/>
      <c r="E18" s="284"/>
      <c r="F18" s="283"/>
      <c r="G18" s="283"/>
      <c r="H18" s="285"/>
      <c r="I18" s="285"/>
      <c r="J18" s="286"/>
    </row>
    <row r="19" spans="1:12" ht="15.75" x14ac:dyDescent="0.25">
      <c r="A19" s="287"/>
      <c r="B19" s="281"/>
      <c r="C19" s="282"/>
      <c r="D19" s="283"/>
      <c r="E19" s="284"/>
      <c r="F19" s="283"/>
      <c r="G19" s="283"/>
      <c r="H19" s="287"/>
      <c r="I19" s="287"/>
      <c r="J19" s="287"/>
    </row>
    <row r="20" spans="1:12" ht="18.75" x14ac:dyDescent="0.3">
      <c r="A20" s="264" t="s">
        <v>889</v>
      </c>
      <c r="B20" s="265"/>
      <c r="C20" s="266"/>
      <c r="D20" s="266"/>
      <c r="E20" s="266"/>
      <c r="F20" s="266"/>
      <c r="G20" s="266"/>
      <c r="H20" s="266"/>
      <c r="I20" s="266"/>
      <c r="J20" s="266"/>
    </row>
    <row r="21" spans="1:12" ht="15.75" x14ac:dyDescent="0.25">
      <c r="A21" s="288"/>
      <c r="B21" s="265"/>
      <c r="C21" s="266"/>
      <c r="D21" s="266"/>
      <c r="E21" s="266"/>
      <c r="F21" s="266"/>
      <c r="G21" s="266"/>
      <c r="H21" s="266"/>
      <c r="I21" s="266"/>
      <c r="J21" s="266"/>
    </row>
    <row r="22" spans="1:12" ht="15.75" x14ac:dyDescent="0.25">
      <c r="A22" s="269" t="s">
        <v>890</v>
      </c>
      <c r="B22" s="265"/>
      <c r="C22" s="270"/>
      <c r="D22" s="271"/>
      <c r="E22" s="271"/>
      <c r="F22" s="271"/>
      <c r="G22" s="271"/>
      <c r="H22" s="271"/>
      <c r="I22" s="271"/>
      <c r="J22" s="271"/>
    </row>
    <row r="23" spans="1:12" ht="15.75" x14ac:dyDescent="0.25">
      <c r="A23" s="460" t="s">
        <v>857</v>
      </c>
      <c r="B23" s="463" t="s">
        <v>414</v>
      </c>
      <c r="C23" s="463" t="s">
        <v>826</v>
      </c>
      <c r="D23" s="454" t="s">
        <v>891</v>
      </c>
      <c r="E23" s="455"/>
      <c r="F23" s="455"/>
      <c r="G23" s="455"/>
      <c r="H23" s="455"/>
      <c r="I23" s="456"/>
      <c r="J23" s="287"/>
    </row>
    <row r="24" spans="1:12" ht="15.75" x14ac:dyDescent="0.25">
      <c r="A24" s="461"/>
      <c r="B24" s="464"/>
      <c r="C24" s="464"/>
      <c r="D24" s="454" t="s">
        <v>860</v>
      </c>
      <c r="E24" s="456"/>
      <c r="F24" s="454" t="s">
        <v>861</v>
      </c>
      <c r="G24" s="456"/>
      <c r="H24" s="454" t="s">
        <v>862</v>
      </c>
      <c r="I24" s="456"/>
      <c r="J24" s="287"/>
    </row>
    <row r="25" spans="1:12" ht="31.5" x14ac:dyDescent="0.25">
      <c r="A25" s="462"/>
      <c r="B25" s="465"/>
      <c r="C25" s="465"/>
      <c r="D25" s="272" t="s">
        <v>863</v>
      </c>
      <c r="E25" s="272" t="s">
        <v>864</v>
      </c>
      <c r="F25" s="272" t="s">
        <v>863</v>
      </c>
      <c r="G25" s="272" t="s">
        <v>864</v>
      </c>
      <c r="H25" s="272" t="s">
        <v>863</v>
      </c>
      <c r="I25" s="272" t="s">
        <v>864</v>
      </c>
      <c r="J25" s="287"/>
    </row>
    <row r="26" spans="1:12" ht="15.75" x14ac:dyDescent="0.25">
      <c r="A26" s="457" t="s">
        <v>892</v>
      </c>
      <c r="B26" s="275" t="s">
        <v>893</v>
      </c>
      <c r="C26" s="275" t="s">
        <v>893</v>
      </c>
      <c r="D26" s="289">
        <f>0*1000</f>
        <v>0</v>
      </c>
      <c r="E26" s="275" t="s">
        <v>894</v>
      </c>
      <c r="F26" s="289">
        <v>1.9E-6</v>
      </c>
      <c r="G26" s="275" t="s">
        <v>894</v>
      </c>
      <c r="H26" s="289">
        <v>1.3999999999999999E-6</v>
      </c>
      <c r="I26" s="275" t="s">
        <v>894</v>
      </c>
      <c r="J26" s="287"/>
    </row>
    <row r="27" spans="1:12" ht="15.75" x14ac:dyDescent="0.25">
      <c r="A27" s="458"/>
      <c r="B27" s="273" t="s">
        <v>895</v>
      </c>
      <c r="C27" s="273" t="s">
        <v>896</v>
      </c>
      <c r="D27" s="290">
        <f>0.0000534*1000</f>
        <v>5.3399999999999996E-2</v>
      </c>
      <c r="E27" s="275" t="s">
        <v>894</v>
      </c>
      <c r="F27" s="290">
        <v>2.8600000000000001E-6</v>
      </c>
      <c r="G27" s="275" t="s">
        <v>894</v>
      </c>
      <c r="H27" s="290">
        <v>9.7999999999999977E-6</v>
      </c>
      <c r="I27" s="275" t="s">
        <v>894</v>
      </c>
      <c r="J27" s="287"/>
    </row>
    <row r="28" spans="1:12" ht="15.75" x14ac:dyDescent="0.25">
      <c r="A28" s="459"/>
      <c r="B28" s="273" t="s">
        <v>897</v>
      </c>
      <c r="C28" s="273" t="s">
        <v>897</v>
      </c>
      <c r="D28" s="290">
        <f>0.00007414*1000</f>
        <v>7.4140000000000011E-2</v>
      </c>
      <c r="E28" s="275" t="s">
        <v>894</v>
      </c>
      <c r="F28" s="290">
        <v>1.9E-6</v>
      </c>
      <c r="G28" s="275" t="s">
        <v>894</v>
      </c>
      <c r="H28" s="290">
        <v>1.3999999999999999E-6</v>
      </c>
      <c r="I28" s="275" t="s">
        <v>894</v>
      </c>
      <c r="J28" s="287"/>
    </row>
    <row r="29" spans="1:12" ht="31.5" x14ac:dyDescent="0.25">
      <c r="A29" s="277" t="s">
        <v>898</v>
      </c>
      <c r="B29" s="273" t="s">
        <v>895</v>
      </c>
      <c r="C29" s="273" t="s">
        <v>899</v>
      </c>
      <c r="D29" s="290">
        <f>0*1000</f>
        <v>0</v>
      </c>
      <c r="E29" s="275" t="s">
        <v>900</v>
      </c>
      <c r="F29" s="290">
        <v>1.3698889852995631E-6</v>
      </c>
      <c r="G29" s="273" t="s">
        <v>900</v>
      </c>
      <c r="H29" s="290">
        <v>4.1096669558986883E-7</v>
      </c>
      <c r="I29" s="273" t="s">
        <v>900</v>
      </c>
      <c r="J29" s="287"/>
    </row>
    <row r="31" spans="1:12" ht="18.75" x14ac:dyDescent="0.3">
      <c r="A31" s="264" t="s">
        <v>901</v>
      </c>
      <c r="B31" s="291"/>
      <c r="C31" s="266"/>
      <c r="D31" s="266"/>
      <c r="E31" s="266"/>
      <c r="F31" s="266"/>
      <c r="G31" s="266"/>
      <c r="H31" s="266"/>
      <c r="I31" s="266"/>
    </row>
    <row r="32" spans="1:12" ht="15.75" x14ac:dyDescent="0.25">
      <c r="A32" s="288"/>
      <c r="B32" s="291"/>
      <c r="C32" s="266"/>
      <c r="D32" s="266"/>
      <c r="E32" s="266"/>
      <c r="F32" s="266"/>
      <c r="G32" s="266"/>
      <c r="H32" s="266"/>
      <c r="I32" s="266"/>
    </row>
    <row r="33" spans="1:9" ht="15.75" x14ac:dyDescent="0.25">
      <c r="A33" s="269" t="s">
        <v>902</v>
      </c>
      <c r="B33" s="291"/>
      <c r="C33" s="270"/>
      <c r="D33" s="271"/>
      <c r="E33" s="271"/>
      <c r="F33" s="271"/>
      <c r="G33" s="271"/>
      <c r="H33" s="271"/>
      <c r="I33" s="271"/>
    </row>
    <row r="34" spans="1:9" ht="15.75" x14ac:dyDescent="0.25">
      <c r="A34" s="460" t="s">
        <v>857</v>
      </c>
      <c r="B34" s="463" t="s">
        <v>414</v>
      </c>
      <c r="C34" s="463" t="s">
        <v>826</v>
      </c>
      <c r="D34" s="454" t="s">
        <v>891</v>
      </c>
      <c r="E34" s="455"/>
      <c r="F34" s="455"/>
      <c r="G34" s="455"/>
      <c r="H34" s="455"/>
      <c r="I34" s="456"/>
    </row>
    <row r="35" spans="1:9" ht="15.75" x14ac:dyDescent="0.25">
      <c r="A35" s="461"/>
      <c r="B35" s="464"/>
      <c r="C35" s="464"/>
      <c r="D35" s="454" t="s">
        <v>860</v>
      </c>
      <c r="E35" s="456"/>
      <c r="F35" s="454" t="s">
        <v>861</v>
      </c>
      <c r="G35" s="456"/>
      <c r="H35" s="454" t="s">
        <v>862</v>
      </c>
      <c r="I35" s="456"/>
    </row>
    <row r="36" spans="1:9" ht="31.5" x14ac:dyDescent="0.25">
      <c r="A36" s="462"/>
      <c r="B36" s="465"/>
      <c r="C36" s="465"/>
      <c r="D36" s="292" t="s">
        <v>863</v>
      </c>
      <c r="E36" s="292" t="s">
        <v>864</v>
      </c>
      <c r="F36" s="292" t="s">
        <v>863</v>
      </c>
      <c r="G36" s="292" t="s">
        <v>864</v>
      </c>
      <c r="H36" s="292" t="s">
        <v>863</v>
      </c>
      <c r="I36" s="292" t="s">
        <v>864</v>
      </c>
    </row>
    <row r="37" spans="1:9" ht="47.25" x14ac:dyDescent="0.25">
      <c r="A37" s="277" t="s">
        <v>892</v>
      </c>
      <c r="B37" s="275" t="s">
        <v>903</v>
      </c>
      <c r="C37" s="275" t="s">
        <v>904</v>
      </c>
      <c r="D37" s="289">
        <f>0.00011516*1000</f>
        <v>0.11516</v>
      </c>
      <c r="E37" s="275" t="s">
        <v>894</v>
      </c>
      <c r="F37" s="293"/>
      <c r="G37" s="294"/>
      <c r="H37" s="293"/>
      <c r="I37" s="294"/>
    </row>
    <row r="38" spans="1:9" ht="15.75" x14ac:dyDescent="0.25">
      <c r="A38" s="457" t="s">
        <v>905</v>
      </c>
      <c r="B38" s="275" t="s">
        <v>903</v>
      </c>
      <c r="C38" s="275" t="s">
        <v>906</v>
      </c>
      <c r="D38" s="289">
        <f>0.0000495*1000</f>
        <v>4.9499999999999995E-2</v>
      </c>
      <c r="E38" s="275" t="s">
        <v>900</v>
      </c>
      <c r="F38" s="289">
        <v>2.8082724198641043E-6</v>
      </c>
      <c r="G38" s="275" t="s">
        <v>900</v>
      </c>
      <c r="H38" s="289">
        <v>9.5892228970969408E-7</v>
      </c>
      <c r="I38" s="275" t="s">
        <v>900</v>
      </c>
    </row>
    <row r="39" spans="1:9" ht="31.5" x14ac:dyDescent="0.25">
      <c r="A39" s="458"/>
      <c r="B39" s="273" t="s">
        <v>907</v>
      </c>
      <c r="C39" s="273" t="s">
        <v>908</v>
      </c>
      <c r="D39" s="290">
        <f>0.0000333*1000</f>
        <v>3.3300000000000003E-2</v>
      </c>
      <c r="E39" s="275" t="s">
        <v>900</v>
      </c>
      <c r="F39" s="290">
        <v>2.8082724198641043E-6</v>
      </c>
      <c r="G39" s="275" t="s">
        <v>900</v>
      </c>
      <c r="H39" s="290">
        <v>9.5892228970969408E-7</v>
      </c>
      <c r="I39" s="275" t="s">
        <v>900</v>
      </c>
    </row>
    <row r="40" spans="1:9" ht="47.25" x14ac:dyDescent="0.25">
      <c r="A40" s="458"/>
      <c r="B40" s="273" t="s">
        <v>909</v>
      </c>
      <c r="C40" s="273" t="s">
        <v>910</v>
      </c>
      <c r="D40" s="290">
        <f>0.0000091*1000</f>
        <v>9.0999999999999987E-3</v>
      </c>
      <c r="E40" s="275" t="s">
        <v>900</v>
      </c>
      <c r="F40" s="290">
        <v>2.8082724198641043E-6</v>
      </c>
      <c r="G40" s="275" t="s">
        <v>900</v>
      </c>
      <c r="H40" s="290">
        <v>9.5892228970969408E-7</v>
      </c>
      <c r="I40" s="275" t="s">
        <v>900</v>
      </c>
    </row>
    <row r="41" spans="1:9" ht="47.25" x14ac:dyDescent="0.25">
      <c r="A41" s="459"/>
      <c r="B41" s="273" t="s">
        <v>911</v>
      </c>
      <c r="C41" s="273" t="s">
        <v>912</v>
      </c>
      <c r="D41" s="290">
        <f>0.0000059*1000</f>
        <v>5.8999999999999999E-3</v>
      </c>
      <c r="E41" s="275" t="s">
        <v>900</v>
      </c>
      <c r="F41" s="290">
        <v>2.8082724198641043E-6</v>
      </c>
      <c r="G41" s="273" t="s">
        <v>900</v>
      </c>
      <c r="H41" s="290">
        <v>9.5892228970969408E-7</v>
      </c>
      <c r="I41" s="273" t="s">
        <v>900</v>
      </c>
    </row>
    <row r="42" spans="1:9" ht="15.75" x14ac:dyDescent="0.25">
      <c r="A42" s="295"/>
      <c r="B42" s="296"/>
      <c r="C42" s="297"/>
      <c r="D42" s="297"/>
      <c r="E42" s="297"/>
      <c r="F42" s="287"/>
      <c r="G42" s="287"/>
      <c r="H42" s="287"/>
      <c r="I42" s="287"/>
    </row>
    <row r="43" spans="1:9" ht="15.75" x14ac:dyDescent="0.25">
      <c r="A43" s="287"/>
      <c r="B43" s="298"/>
      <c r="C43" s="297"/>
      <c r="D43" s="297"/>
      <c r="E43" s="297"/>
      <c r="F43" s="287"/>
      <c r="G43" s="287"/>
      <c r="H43" s="287"/>
      <c r="I43" s="287"/>
    </row>
    <row r="44" spans="1:9" ht="18.75" x14ac:dyDescent="0.3">
      <c r="A44" s="299" t="s">
        <v>913</v>
      </c>
      <c r="B44" s="291"/>
      <c r="C44" s="266"/>
      <c r="D44" s="266"/>
      <c r="E44" s="266"/>
      <c r="F44" s="266"/>
      <c r="G44" s="266"/>
      <c r="H44" s="266"/>
      <c r="I44" s="266"/>
    </row>
    <row r="45" spans="1:9" ht="15.75" x14ac:dyDescent="0.25">
      <c r="A45" s="300"/>
      <c r="B45" s="291"/>
      <c r="C45" s="266"/>
      <c r="D45" s="266"/>
      <c r="E45" s="266"/>
      <c r="F45" s="266"/>
      <c r="G45" s="266"/>
      <c r="H45" s="266"/>
      <c r="I45" s="266"/>
    </row>
    <row r="46" spans="1:9" ht="15.75" x14ac:dyDescent="0.25">
      <c r="A46" s="301" t="s">
        <v>914</v>
      </c>
      <c r="B46" s="291"/>
      <c r="C46" s="270"/>
      <c r="D46" s="271"/>
      <c r="E46" s="271"/>
      <c r="F46" s="271"/>
      <c r="G46" s="271"/>
      <c r="H46" s="271"/>
      <c r="I46" s="271"/>
    </row>
    <row r="47" spans="1:9" ht="15.75" x14ac:dyDescent="0.25">
      <c r="A47" s="460" t="s">
        <v>857</v>
      </c>
      <c r="B47" s="463" t="s">
        <v>414</v>
      </c>
      <c r="C47" s="463" t="s">
        <v>826</v>
      </c>
      <c r="D47" s="454" t="s">
        <v>891</v>
      </c>
      <c r="E47" s="455"/>
      <c r="F47" s="455"/>
      <c r="G47" s="455"/>
      <c r="H47" s="455"/>
      <c r="I47" s="456"/>
    </row>
    <row r="48" spans="1:9" ht="15.75" x14ac:dyDescent="0.25">
      <c r="A48" s="461"/>
      <c r="B48" s="464"/>
      <c r="C48" s="464"/>
      <c r="D48" s="454" t="s">
        <v>860</v>
      </c>
      <c r="E48" s="456"/>
      <c r="F48" s="454" t="s">
        <v>861</v>
      </c>
      <c r="G48" s="456"/>
      <c r="H48" s="454" t="s">
        <v>862</v>
      </c>
      <c r="I48" s="456"/>
    </row>
    <row r="49" spans="1:11" ht="31.5" x14ac:dyDescent="0.25">
      <c r="A49" s="462"/>
      <c r="B49" s="465"/>
      <c r="C49" s="465"/>
      <c r="D49" s="292" t="s">
        <v>863</v>
      </c>
      <c r="E49" s="292" t="s">
        <v>864</v>
      </c>
      <c r="F49" s="292" t="s">
        <v>863</v>
      </c>
      <c r="G49" s="292" t="s">
        <v>864</v>
      </c>
      <c r="H49" s="292" t="s">
        <v>863</v>
      </c>
      <c r="I49" s="292" t="s">
        <v>864</v>
      </c>
    </row>
    <row r="50" spans="1:11" ht="31.5" x14ac:dyDescent="0.25">
      <c r="A50" s="457" t="s">
        <v>892</v>
      </c>
      <c r="B50" s="275" t="s">
        <v>915</v>
      </c>
      <c r="C50" s="275" t="str">
        <f t="shared" ref="C50:C55" si="1">B50</f>
        <v>Voo doméstico (passageiros)</v>
      </c>
      <c r="D50" s="289">
        <f>0.00017147*1000</f>
        <v>0.17147000000000001</v>
      </c>
      <c r="E50" s="275" t="s">
        <v>894</v>
      </c>
      <c r="F50" s="293"/>
      <c r="G50" s="294"/>
      <c r="H50" s="293"/>
      <c r="I50" s="294"/>
    </row>
    <row r="51" spans="1:11" ht="31.5" x14ac:dyDescent="0.25">
      <c r="A51" s="458"/>
      <c r="B51" s="302" t="s">
        <v>916</v>
      </c>
      <c r="C51" s="302" t="str">
        <f t="shared" si="1"/>
        <v>Voo curto (passageiros)</v>
      </c>
      <c r="D51" s="289">
        <f>0.000097*1000</f>
        <v>9.7000000000000003E-2</v>
      </c>
      <c r="E51" s="275" t="s">
        <v>894</v>
      </c>
      <c r="F51" s="289"/>
      <c r="G51" s="275"/>
      <c r="H51" s="289"/>
      <c r="I51" s="275"/>
    </row>
    <row r="52" spans="1:11" ht="31.5" x14ac:dyDescent="0.25">
      <c r="A52" s="459"/>
      <c r="B52" s="303" t="s">
        <v>917</v>
      </c>
      <c r="C52" s="303" t="str">
        <f t="shared" si="1"/>
        <v>Voo longo (passageiros)</v>
      </c>
      <c r="D52" s="290">
        <f>0.00011319*1000</f>
        <v>0.11319</v>
      </c>
      <c r="E52" s="275" t="s">
        <v>894</v>
      </c>
      <c r="F52" s="290"/>
      <c r="G52" s="273"/>
      <c r="H52" s="290"/>
      <c r="I52" s="273"/>
    </row>
    <row r="53" spans="1:11" ht="15.75" x14ac:dyDescent="0.25">
      <c r="A53" s="457" t="s">
        <v>918</v>
      </c>
      <c r="B53" s="273" t="s">
        <v>919</v>
      </c>
      <c r="C53" s="273" t="str">
        <f t="shared" si="1"/>
        <v>Voo doméstico (carga)</v>
      </c>
      <c r="D53" s="290">
        <f>0.00196073*1000</f>
        <v>1.9607299999999999</v>
      </c>
      <c r="E53" s="275" t="s">
        <v>900</v>
      </c>
      <c r="F53" s="290">
        <v>2.8562185343495887E-5</v>
      </c>
      <c r="G53" s="273" t="s">
        <v>900</v>
      </c>
      <c r="H53" s="290">
        <v>3.2808841197924531E-5</v>
      </c>
      <c r="I53" s="273" t="s">
        <v>900</v>
      </c>
    </row>
    <row r="54" spans="1:11" ht="15.75" x14ac:dyDescent="0.25">
      <c r="A54" s="458"/>
      <c r="B54" s="275" t="s">
        <v>920</v>
      </c>
      <c r="C54" s="275" t="str">
        <f t="shared" si="1"/>
        <v>Voo curto (carga)</v>
      </c>
      <c r="D54" s="289">
        <f>0.00147389*1000</f>
        <v>1.4738900000000001</v>
      </c>
      <c r="E54" s="275" t="s">
        <v>900</v>
      </c>
      <c r="F54" s="289">
        <v>2.8562185343495887E-5</v>
      </c>
      <c r="G54" s="275" t="s">
        <v>900</v>
      </c>
      <c r="H54" s="289">
        <v>3.2808841197924531E-5</v>
      </c>
      <c r="I54" s="275" t="s">
        <v>900</v>
      </c>
    </row>
    <row r="55" spans="1:11" ht="15.75" x14ac:dyDescent="0.25">
      <c r="A55" s="459"/>
      <c r="B55" s="273" t="s">
        <v>921</v>
      </c>
      <c r="C55" s="273" t="str">
        <f t="shared" si="1"/>
        <v>Voo longo (carga)</v>
      </c>
      <c r="D55" s="290">
        <f>0.00061324*1000</f>
        <v>0.61324000000000001</v>
      </c>
      <c r="E55" s="275" t="s">
        <v>900</v>
      </c>
      <c r="F55" s="290">
        <v>2.8562185343495887E-5</v>
      </c>
      <c r="G55" s="275" t="s">
        <v>900</v>
      </c>
      <c r="H55" s="290">
        <v>3.2808841197924531E-5</v>
      </c>
      <c r="I55" s="275" t="s">
        <v>900</v>
      </c>
    </row>
    <row r="56" spans="1:11" ht="15.75" x14ac:dyDescent="0.25">
      <c r="A56" s="295"/>
      <c r="B56" s="296"/>
      <c r="C56" s="297"/>
      <c r="D56" s="297"/>
      <c r="E56" s="297"/>
      <c r="F56" s="287"/>
      <c r="G56" s="287"/>
      <c r="H56" s="287"/>
      <c r="I56" s="287"/>
    </row>
    <row r="58" spans="1:11" ht="18.75" x14ac:dyDescent="0.3">
      <c r="A58" s="299" t="s">
        <v>922</v>
      </c>
      <c r="B58" s="291"/>
      <c r="C58" s="266"/>
      <c r="D58" s="266"/>
      <c r="E58" s="266"/>
      <c r="F58" s="266"/>
      <c r="G58" s="266"/>
      <c r="H58" s="266"/>
      <c r="I58" s="266"/>
      <c r="J58" s="266"/>
      <c r="K58" s="287"/>
    </row>
    <row r="59" spans="1:11" ht="15.75" x14ac:dyDescent="0.25">
      <c r="A59" s="300"/>
      <c r="B59" s="291"/>
      <c r="C59" s="266"/>
      <c r="D59" s="266"/>
      <c r="E59" s="266"/>
      <c r="F59" s="266"/>
      <c r="G59" s="266"/>
      <c r="H59" s="266"/>
      <c r="I59" s="266"/>
      <c r="J59" s="266"/>
      <c r="K59" s="287"/>
    </row>
    <row r="60" spans="1:11" ht="15.75" x14ac:dyDescent="0.25">
      <c r="A60" s="301" t="s">
        <v>923</v>
      </c>
      <c r="B60" s="291"/>
      <c r="C60" s="270"/>
      <c r="D60" s="271"/>
      <c r="E60" s="271"/>
      <c r="F60" s="271"/>
      <c r="G60" s="271"/>
      <c r="H60" s="271"/>
      <c r="I60" s="271"/>
      <c r="J60" s="271"/>
      <c r="K60" s="287"/>
    </row>
    <row r="61" spans="1:11" ht="15.75" x14ac:dyDescent="0.25">
      <c r="A61" s="460" t="s">
        <v>924</v>
      </c>
      <c r="B61" s="463" t="s">
        <v>826</v>
      </c>
      <c r="C61" s="463" t="s">
        <v>0</v>
      </c>
      <c r="D61" s="463" t="s">
        <v>489</v>
      </c>
      <c r="E61" s="454" t="s">
        <v>891</v>
      </c>
      <c r="F61" s="455"/>
      <c r="G61" s="455"/>
      <c r="H61" s="455"/>
      <c r="I61" s="455"/>
      <c r="J61" s="456"/>
      <c r="K61" s="291"/>
    </row>
    <row r="62" spans="1:11" ht="15.75" x14ac:dyDescent="0.25">
      <c r="A62" s="461"/>
      <c r="B62" s="464"/>
      <c r="C62" s="464"/>
      <c r="D62" s="464"/>
      <c r="E62" s="454" t="s">
        <v>860</v>
      </c>
      <c r="F62" s="456"/>
      <c r="G62" s="454" t="s">
        <v>861</v>
      </c>
      <c r="H62" s="456"/>
      <c r="I62" s="454" t="s">
        <v>862</v>
      </c>
      <c r="J62" s="456"/>
      <c r="K62" s="291"/>
    </row>
    <row r="63" spans="1:11" ht="15.75" x14ac:dyDescent="0.25">
      <c r="A63" s="462"/>
      <c r="B63" s="465"/>
      <c r="C63" s="465"/>
      <c r="D63" s="465"/>
      <c r="E63" s="292" t="s">
        <v>863</v>
      </c>
      <c r="F63" s="292" t="s">
        <v>864</v>
      </c>
      <c r="G63" s="292" t="s">
        <v>863</v>
      </c>
      <c r="H63" s="292" t="s">
        <v>864</v>
      </c>
      <c r="I63" s="292" t="s">
        <v>863</v>
      </c>
      <c r="J63" s="292" t="s">
        <v>864</v>
      </c>
      <c r="K63" s="291"/>
    </row>
    <row r="64" spans="1:11" ht="31.5" x14ac:dyDescent="0.25">
      <c r="A64" s="457" t="s">
        <v>925</v>
      </c>
      <c r="B64" s="275" t="s">
        <v>955</v>
      </c>
      <c r="C64" s="302" t="s">
        <v>956</v>
      </c>
      <c r="D64" s="275" t="s">
        <v>957</v>
      </c>
      <c r="E64" s="304">
        <v>2.6509464</v>
      </c>
      <c r="F64" s="275" t="s">
        <v>57</v>
      </c>
      <c r="G64" s="305">
        <v>1.293948432E-11</v>
      </c>
      <c r="H64" s="275" t="s">
        <v>57</v>
      </c>
      <c r="I64" s="305">
        <v>7.7636905919999992E-13</v>
      </c>
      <c r="J64" s="275" t="s">
        <v>57</v>
      </c>
      <c r="K64" s="291"/>
    </row>
    <row r="65" spans="1:12" ht="15.75" x14ac:dyDescent="0.25">
      <c r="A65" s="458"/>
      <c r="B65" s="275" t="s">
        <v>958</v>
      </c>
      <c r="C65" s="275" t="s">
        <v>959</v>
      </c>
      <c r="D65" s="275" t="s">
        <v>957</v>
      </c>
      <c r="E65" s="304">
        <v>1.4113916666666667E-3</v>
      </c>
      <c r="F65" s="275" t="s">
        <v>57</v>
      </c>
      <c r="G65" s="305">
        <v>6.6861620833333319E-15</v>
      </c>
      <c r="H65" s="275" t="s">
        <v>57</v>
      </c>
      <c r="I65" s="305">
        <v>4.0116972499999987E-16</v>
      </c>
      <c r="J65" s="275" t="s">
        <v>57</v>
      </c>
      <c r="K65" s="291"/>
    </row>
    <row r="66" spans="1:12" ht="15.75" x14ac:dyDescent="0.25">
      <c r="A66" s="458"/>
      <c r="B66" s="275" t="s">
        <v>960</v>
      </c>
      <c r="C66" s="275" t="s">
        <v>961</v>
      </c>
      <c r="D66" s="275" t="s">
        <v>461</v>
      </c>
      <c r="E66" s="304">
        <v>2.4295207639999994</v>
      </c>
      <c r="F66" s="275" t="s">
        <v>57</v>
      </c>
      <c r="G66" s="305">
        <v>0</v>
      </c>
      <c r="H66" s="275" t="s">
        <v>57</v>
      </c>
      <c r="I66" s="305">
        <v>0</v>
      </c>
      <c r="J66" s="275" t="s">
        <v>57</v>
      </c>
      <c r="K66" s="291"/>
    </row>
    <row r="67" spans="1:12" ht="15.75" x14ac:dyDescent="0.25">
      <c r="A67" s="458"/>
      <c r="B67" s="275" t="s">
        <v>962</v>
      </c>
      <c r="C67" s="275" t="s">
        <v>93</v>
      </c>
      <c r="D67" s="275" t="s">
        <v>57</v>
      </c>
      <c r="E67" s="304">
        <v>1.9116</v>
      </c>
      <c r="F67" s="275" t="s">
        <v>57</v>
      </c>
      <c r="G67" s="305">
        <v>7.2900000000000003E-9</v>
      </c>
      <c r="H67" s="275" t="s">
        <v>57</v>
      </c>
      <c r="I67" s="305">
        <v>4.3739999999999996E-10</v>
      </c>
      <c r="J67" s="275" t="s">
        <v>57</v>
      </c>
      <c r="K67" s="291"/>
    </row>
    <row r="68" spans="1:12" ht="15.75" x14ac:dyDescent="0.25">
      <c r="A68" s="459"/>
      <c r="B68" s="275" t="s">
        <v>963</v>
      </c>
      <c r="C68" s="275" t="s">
        <v>964</v>
      </c>
      <c r="D68" s="275" t="s">
        <v>57</v>
      </c>
      <c r="E68" s="304">
        <v>1.9116</v>
      </c>
      <c r="F68" s="275" t="s">
        <v>57</v>
      </c>
      <c r="G68" s="305">
        <v>7.2900000000000003E-9</v>
      </c>
      <c r="H68" s="275" t="s">
        <v>57</v>
      </c>
      <c r="I68" s="305">
        <v>4.3739999999999996E-10</v>
      </c>
      <c r="J68" s="275" t="s">
        <v>57</v>
      </c>
      <c r="K68" s="291"/>
    </row>
    <row r="69" spans="1:12" ht="31.5" x14ac:dyDescent="0.25">
      <c r="A69" s="451" t="s">
        <v>926</v>
      </c>
      <c r="B69" s="275" t="s">
        <v>965</v>
      </c>
      <c r="C69" s="302" t="s">
        <v>956</v>
      </c>
      <c r="D69" s="275" t="s">
        <v>957</v>
      </c>
      <c r="E69" s="304">
        <v>2.6509464</v>
      </c>
      <c r="F69" s="275" t="s">
        <v>57</v>
      </c>
      <c r="G69" s="305">
        <v>1.293948432E-11</v>
      </c>
      <c r="H69" s="275" t="s">
        <v>57</v>
      </c>
      <c r="I69" s="305">
        <v>7.7636905919999992E-13</v>
      </c>
      <c r="J69" s="275" t="s">
        <v>57</v>
      </c>
      <c r="K69" s="291"/>
    </row>
    <row r="70" spans="1:12" ht="15.75" x14ac:dyDescent="0.25">
      <c r="A70" s="452"/>
      <c r="B70" s="275" t="s">
        <v>966</v>
      </c>
      <c r="C70" s="302" t="s">
        <v>959</v>
      </c>
      <c r="D70" s="275" t="s">
        <v>957</v>
      </c>
      <c r="E70" s="304">
        <v>1.4113916666666667E-3</v>
      </c>
      <c r="F70" s="275" t="s">
        <v>57</v>
      </c>
      <c r="G70" s="305">
        <v>6.6861620833333319E-15</v>
      </c>
      <c r="H70" s="275" t="s">
        <v>57</v>
      </c>
      <c r="I70" s="305">
        <v>4.0116972499999987E-16</v>
      </c>
      <c r="J70" s="275" t="s">
        <v>57</v>
      </c>
      <c r="K70" s="291"/>
    </row>
    <row r="71" spans="1:12" ht="15.75" x14ac:dyDescent="0.25">
      <c r="A71" s="452"/>
      <c r="B71" s="275" t="s">
        <v>967</v>
      </c>
      <c r="C71" s="302" t="s">
        <v>961</v>
      </c>
      <c r="D71" s="275" t="s">
        <v>461</v>
      </c>
      <c r="E71" s="304">
        <v>2.4295207639999994</v>
      </c>
      <c r="F71" s="275" t="s">
        <v>57</v>
      </c>
      <c r="G71" s="305">
        <v>0</v>
      </c>
      <c r="H71" s="275" t="s">
        <v>57</v>
      </c>
      <c r="I71" s="305">
        <v>0</v>
      </c>
      <c r="J71" s="275" t="s">
        <v>57</v>
      </c>
      <c r="K71" s="291"/>
    </row>
    <row r="72" spans="1:12" ht="15.75" x14ac:dyDescent="0.25">
      <c r="A72" s="452"/>
      <c r="B72" s="275" t="s">
        <v>968</v>
      </c>
      <c r="C72" s="302" t="s">
        <v>93</v>
      </c>
      <c r="D72" s="275" t="s">
        <v>57</v>
      </c>
      <c r="E72" s="304">
        <v>1.9116</v>
      </c>
      <c r="F72" s="275" t="s">
        <v>57</v>
      </c>
      <c r="G72" s="305">
        <v>7.2900000000000003E-9</v>
      </c>
      <c r="H72" s="275" t="s">
        <v>57</v>
      </c>
      <c r="I72" s="305">
        <v>4.3739999999999996E-10</v>
      </c>
      <c r="J72" s="275" t="s">
        <v>57</v>
      </c>
      <c r="K72" s="291"/>
    </row>
    <row r="73" spans="1:12" ht="15.75" x14ac:dyDescent="0.25">
      <c r="A73" s="453"/>
      <c r="B73" s="275" t="s">
        <v>969</v>
      </c>
      <c r="C73" s="302" t="s">
        <v>964</v>
      </c>
      <c r="D73" s="275" t="s">
        <v>57</v>
      </c>
      <c r="E73" s="304">
        <v>1.9116</v>
      </c>
      <c r="F73" s="275" t="s">
        <v>57</v>
      </c>
      <c r="G73" s="305">
        <v>7.2900000000000003E-9</v>
      </c>
      <c r="H73" s="275" t="s">
        <v>57</v>
      </c>
      <c r="I73" s="305">
        <v>4.3739999999999996E-10</v>
      </c>
      <c r="J73" s="275" t="s">
        <v>57</v>
      </c>
      <c r="K73" s="291"/>
    </row>
    <row r="74" spans="1:12" ht="31.5" x14ac:dyDescent="0.25">
      <c r="A74" s="451" t="s">
        <v>927</v>
      </c>
      <c r="B74" s="275" t="s">
        <v>970</v>
      </c>
      <c r="C74" s="302" t="s">
        <v>956</v>
      </c>
      <c r="D74" s="275" t="s">
        <v>957</v>
      </c>
      <c r="E74" s="304">
        <v>2.6509464</v>
      </c>
      <c r="F74" s="275" t="s">
        <v>57</v>
      </c>
      <c r="G74" s="305">
        <v>1.293948432E-11</v>
      </c>
      <c r="H74" s="275" t="s">
        <v>57</v>
      </c>
      <c r="I74" s="305">
        <v>7.7636905919999992E-13</v>
      </c>
      <c r="J74" s="275" t="s">
        <v>57</v>
      </c>
      <c r="K74" s="291"/>
    </row>
    <row r="75" spans="1:12" ht="15.75" x14ac:dyDescent="0.25">
      <c r="A75" s="452"/>
      <c r="B75" s="275" t="s">
        <v>971</v>
      </c>
      <c r="C75" s="302" t="s">
        <v>959</v>
      </c>
      <c r="D75" s="275" t="s">
        <v>957</v>
      </c>
      <c r="E75" s="304">
        <v>1.4113916666666667E-3</v>
      </c>
      <c r="F75" s="275" t="s">
        <v>57</v>
      </c>
      <c r="G75" s="305">
        <v>6.6861620833333319E-15</v>
      </c>
      <c r="H75" s="275" t="s">
        <v>57</v>
      </c>
      <c r="I75" s="305">
        <v>4.0116972499999987E-16</v>
      </c>
      <c r="J75" s="275" t="s">
        <v>57</v>
      </c>
      <c r="K75" s="291"/>
    </row>
    <row r="76" spans="1:12" ht="15.75" x14ac:dyDescent="0.25">
      <c r="A76" s="452"/>
      <c r="B76" s="275" t="s">
        <v>972</v>
      </c>
      <c r="C76" s="302" t="s">
        <v>961</v>
      </c>
      <c r="D76" s="275" t="s">
        <v>461</v>
      </c>
      <c r="E76" s="304">
        <v>2.4295207639999994</v>
      </c>
      <c r="F76" s="275" t="s">
        <v>57</v>
      </c>
      <c r="G76" s="305">
        <v>0</v>
      </c>
      <c r="H76" s="275" t="s">
        <v>57</v>
      </c>
      <c r="I76" s="305">
        <v>0</v>
      </c>
      <c r="J76" s="275" t="s">
        <v>57</v>
      </c>
      <c r="K76" s="291"/>
    </row>
    <row r="77" spans="1:12" ht="15.75" x14ac:dyDescent="0.25">
      <c r="A77" s="452"/>
      <c r="B77" s="275" t="s">
        <v>973</v>
      </c>
      <c r="C77" s="302" t="s">
        <v>93</v>
      </c>
      <c r="D77" s="275" t="s">
        <v>57</v>
      </c>
      <c r="E77" s="304">
        <v>1.9116</v>
      </c>
      <c r="F77" s="275" t="s">
        <v>57</v>
      </c>
      <c r="G77" s="305">
        <v>7.2900000000000003E-9</v>
      </c>
      <c r="H77" s="275" t="s">
        <v>57</v>
      </c>
      <c r="I77" s="305">
        <v>4.3739999999999996E-10</v>
      </c>
      <c r="J77" s="275" t="s">
        <v>57</v>
      </c>
      <c r="K77" s="291"/>
    </row>
    <row r="78" spans="1:12" ht="15.75" x14ac:dyDescent="0.25">
      <c r="A78" s="453"/>
      <c r="B78" s="275" t="s">
        <v>974</v>
      </c>
      <c r="C78" s="302" t="s">
        <v>964</v>
      </c>
      <c r="D78" s="275" t="s">
        <v>57</v>
      </c>
      <c r="E78" s="304">
        <v>1.9116</v>
      </c>
      <c r="F78" s="275" t="s">
        <v>57</v>
      </c>
      <c r="G78" s="305">
        <v>7.2900000000000003E-9</v>
      </c>
      <c r="H78" s="275" t="s">
        <v>57</v>
      </c>
      <c r="I78" s="305">
        <v>4.3739999999999996E-10</v>
      </c>
      <c r="J78" s="275" t="s">
        <v>57</v>
      </c>
      <c r="K78" s="291"/>
    </row>
    <row r="79" spans="1:12" ht="15.75" x14ac:dyDescent="0.25">
      <c r="A79" s="287"/>
      <c r="B79" s="287"/>
      <c r="C79" s="306"/>
      <c r="D79" s="287"/>
      <c r="E79" s="287"/>
      <c r="F79" s="287"/>
      <c r="G79" s="287"/>
      <c r="H79" s="287"/>
      <c r="I79" s="287"/>
      <c r="J79" s="287"/>
      <c r="K79" s="287"/>
      <c r="L79" s="287"/>
    </row>
    <row r="80" spans="1:12" ht="18.75" x14ac:dyDescent="0.25">
      <c r="A80" s="307"/>
      <c r="B80" s="308" t="s">
        <v>928</v>
      </c>
      <c r="C80" s="309"/>
      <c r="D80" s="310"/>
      <c r="E80" s="310"/>
      <c r="F80" s="310"/>
      <c r="G80" s="310"/>
      <c r="H80" s="310"/>
      <c r="I80" s="310"/>
      <c r="J80" s="310"/>
      <c r="K80" s="310"/>
      <c r="L80" s="310"/>
    </row>
    <row r="81" spans="1:12" ht="15.75" x14ac:dyDescent="0.25">
      <c r="A81" s="287"/>
      <c r="B81" s="287"/>
      <c r="C81" s="306"/>
      <c r="D81" s="287"/>
      <c r="E81" s="287"/>
      <c r="F81" s="287"/>
      <c r="G81" s="287"/>
      <c r="H81" s="287"/>
      <c r="I81" s="287"/>
      <c r="J81" s="287"/>
      <c r="K81" s="287"/>
      <c r="L81" s="287"/>
    </row>
    <row r="82" spans="1:12" ht="15.75" x14ac:dyDescent="0.25">
      <c r="A82" s="287"/>
      <c r="B82" s="311" t="s">
        <v>929</v>
      </c>
      <c r="C82" s="306"/>
      <c r="D82" s="287"/>
      <c r="E82" s="287"/>
      <c r="F82" s="287"/>
      <c r="G82" s="287"/>
      <c r="H82" s="287"/>
      <c r="I82" s="287"/>
      <c r="J82" s="287"/>
      <c r="K82" s="287"/>
      <c r="L82" s="287"/>
    </row>
    <row r="83" spans="1:12" ht="15.75" x14ac:dyDescent="0.25">
      <c r="A83" s="287"/>
      <c r="B83" s="291" t="s">
        <v>930</v>
      </c>
      <c r="C83" s="265"/>
      <c r="D83" s="291"/>
      <c r="E83" s="291"/>
      <c r="F83" s="291"/>
      <c r="G83" s="291"/>
      <c r="H83" s="291"/>
      <c r="I83" s="291"/>
      <c r="J83" s="287"/>
      <c r="K83" s="287"/>
      <c r="L83" s="287"/>
    </row>
    <row r="84" spans="1:12" ht="15.75" x14ac:dyDescent="0.25">
      <c r="A84" s="287"/>
      <c r="B84" s="312" t="s">
        <v>931</v>
      </c>
      <c r="C84" s="313" t="s">
        <v>932</v>
      </c>
      <c r="D84" s="441" t="s">
        <v>933</v>
      </c>
      <c r="E84" s="442"/>
      <c r="F84" s="443" t="s">
        <v>934</v>
      </c>
      <c r="G84" s="443" t="s">
        <v>935</v>
      </c>
      <c r="H84" s="443" t="s">
        <v>936</v>
      </c>
      <c r="I84" s="443" t="s">
        <v>937</v>
      </c>
      <c r="J84" s="287"/>
      <c r="K84" s="287"/>
      <c r="L84" s="287"/>
    </row>
    <row r="85" spans="1:12" ht="31.5" x14ac:dyDescent="0.25">
      <c r="A85" s="287"/>
      <c r="B85" s="314" t="s">
        <v>938</v>
      </c>
      <c r="C85" s="315" t="s">
        <v>939</v>
      </c>
      <c r="D85" s="316" t="s">
        <v>940</v>
      </c>
      <c r="E85" s="317" t="s">
        <v>941</v>
      </c>
      <c r="F85" s="444"/>
      <c r="G85" s="444"/>
      <c r="H85" s="444"/>
      <c r="I85" s="444"/>
      <c r="J85" s="287"/>
      <c r="K85" s="287"/>
      <c r="L85" s="287"/>
    </row>
    <row r="86" spans="1:12" ht="63" x14ac:dyDescent="0.25">
      <c r="A86" s="287"/>
      <c r="B86" s="318"/>
      <c r="C86" s="319"/>
      <c r="D86" s="320" t="s">
        <v>942</v>
      </c>
      <c r="E86" s="321" t="s">
        <v>943</v>
      </c>
      <c r="F86" s="322" t="s">
        <v>944</v>
      </c>
      <c r="G86" s="445"/>
      <c r="H86" s="323" t="s">
        <v>57</v>
      </c>
      <c r="I86" s="445"/>
      <c r="J86" s="287"/>
      <c r="K86" s="287"/>
      <c r="L86" s="287"/>
    </row>
    <row r="87" spans="1:12" ht="15.75" x14ac:dyDescent="0.25">
      <c r="A87" s="287"/>
      <c r="B87" s="324" t="s">
        <v>945</v>
      </c>
      <c r="C87" s="325">
        <v>0.01</v>
      </c>
      <c r="D87" s="326">
        <v>5.0000000000000001E-3</v>
      </c>
      <c r="E87" s="327">
        <f>G87</f>
        <v>0.8</v>
      </c>
      <c r="F87" s="328">
        <f>0.7/2</f>
        <v>0.35</v>
      </c>
      <c r="G87" s="328">
        <v>0.8</v>
      </c>
      <c r="H87" s="252">
        <v>0.5</v>
      </c>
      <c r="I87" s="329">
        <v>150</v>
      </c>
      <c r="J87" s="287"/>
      <c r="K87" s="287"/>
      <c r="L87" s="287"/>
    </row>
    <row r="88" spans="1:12" ht="15.75" x14ac:dyDescent="0.25">
      <c r="A88" s="287"/>
      <c r="B88" s="330" t="s">
        <v>946</v>
      </c>
      <c r="C88" s="325">
        <v>0.03</v>
      </c>
      <c r="D88" s="327">
        <v>0.15</v>
      </c>
      <c r="E88" s="327">
        <f t="shared" ref="E88:E95" si="2">G88</f>
        <v>0.8</v>
      </c>
      <c r="F88" s="328">
        <f>0.7/2</f>
        <v>0.35</v>
      </c>
      <c r="G88" s="328">
        <v>0.8</v>
      </c>
      <c r="H88" s="252">
        <v>6</v>
      </c>
      <c r="I88" s="329">
        <v>150</v>
      </c>
      <c r="J88" s="287"/>
      <c r="K88" s="287"/>
      <c r="L88" s="287"/>
    </row>
    <row r="89" spans="1:12" ht="15.75" x14ac:dyDescent="0.25">
      <c r="A89" s="287"/>
      <c r="B89" s="330" t="s">
        <v>947</v>
      </c>
      <c r="C89" s="325">
        <v>0.03</v>
      </c>
      <c r="D89" s="327">
        <v>0.35</v>
      </c>
      <c r="E89" s="327">
        <f t="shared" si="2"/>
        <v>1</v>
      </c>
      <c r="F89" s="328">
        <f>0.7/2</f>
        <v>0.35</v>
      </c>
      <c r="G89" s="328">
        <v>1</v>
      </c>
      <c r="H89" s="252">
        <v>2000</v>
      </c>
      <c r="I89" s="329">
        <v>2500</v>
      </c>
      <c r="J89" s="287"/>
      <c r="K89" s="287"/>
      <c r="L89" s="287"/>
    </row>
    <row r="90" spans="1:12" ht="15.75" x14ac:dyDescent="0.25">
      <c r="A90" s="287"/>
      <c r="B90" s="330" t="s">
        <v>948</v>
      </c>
      <c r="C90" s="325">
        <v>0.01</v>
      </c>
      <c r="D90" s="327">
        <v>0.5</v>
      </c>
      <c r="E90" s="327">
        <f t="shared" si="2"/>
        <v>0.5</v>
      </c>
      <c r="F90" s="328">
        <f>0.7/2</f>
        <v>0.35</v>
      </c>
      <c r="G90" s="328">
        <v>0.5</v>
      </c>
      <c r="H90" s="252">
        <v>8</v>
      </c>
      <c r="I90" s="329">
        <v>2500</v>
      </c>
      <c r="J90" s="287"/>
      <c r="K90" s="287"/>
      <c r="L90" s="287"/>
    </row>
    <row r="91" spans="1:12" ht="15.75" x14ac:dyDescent="0.25">
      <c r="A91" s="287"/>
      <c r="B91" s="330" t="s">
        <v>949</v>
      </c>
      <c r="C91" s="325">
        <v>0.03</v>
      </c>
      <c r="D91" s="327">
        <v>0.25</v>
      </c>
      <c r="E91" s="327">
        <f t="shared" si="2"/>
        <v>1</v>
      </c>
      <c r="F91" s="328">
        <f>0.9/2</f>
        <v>0.45</v>
      </c>
      <c r="G91" s="328">
        <v>1</v>
      </c>
      <c r="H91" s="252">
        <v>10000</v>
      </c>
      <c r="I91" s="329">
        <v>150</v>
      </c>
      <c r="J91" s="287"/>
      <c r="K91" s="287"/>
      <c r="L91" s="287"/>
    </row>
    <row r="92" spans="1:12" ht="15.75" x14ac:dyDescent="0.25">
      <c r="A92" s="287"/>
      <c r="B92" s="330" t="s">
        <v>950</v>
      </c>
      <c r="C92" s="325">
        <v>0.01</v>
      </c>
      <c r="D92" s="327">
        <v>0.15</v>
      </c>
      <c r="E92" s="327">
        <f t="shared" si="2"/>
        <v>1</v>
      </c>
      <c r="F92" s="328">
        <f>0.95/2</f>
        <v>0.47499999999999998</v>
      </c>
      <c r="G92" s="328">
        <v>1</v>
      </c>
      <c r="H92" s="252">
        <v>2000</v>
      </c>
      <c r="I92" s="329">
        <v>150</v>
      </c>
      <c r="J92" s="287"/>
      <c r="K92" s="287"/>
      <c r="L92" s="287"/>
    </row>
    <row r="93" spans="1:12" ht="15.75" x14ac:dyDescent="0.25">
      <c r="A93" s="287"/>
      <c r="B93" s="330" t="s">
        <v>951</v>
      </c>
      <c r="C93" s="325">
        <v>0.01</v>
      </c>
      <c r="D93" s="327">
        <v>0.1</v>
      </c>
      <c r="E93" s="327">
        <f t="shared" si="2"/>
        <v>0.8</v>
      </c>
      <c r="F93" s="328">
        <f>0.8/2</f>
        <v>0.4</v>
      </c>
      <c r="G93" s="328">
        <v>0.8</v>
      </c>
      <c r="H93" s="252">
        <v>100</v>
      </c>
      <c r="I93" s="329">
        <v>150</v>
      </c>
      <c r="J93" s="287"/>
      <c r="K93" s="287"/>
      <c r="L93" s="287"/>
    </row>
    <row r="94" spans="1:12" ht="15.75" x14ac:dyDescent="0.25">
      <c r="A94" s="287"/>
      <c r="B94" s="331" t="s">
        <v>952</v>
      </c>
      <c r="C94" s="332">
        <v>5.0000000000000001E-3</v>
      </c>
      <c r="D94" s="327">
        <v>0.2</v>
      </c>
      <c r="E94" s="327">
        <f t="shared" si="2"/>
        <v>0.5</v>
      </c>
      <c r="F94" s="328">
        <f>0.5/2</f>
        <v>0.25</v>
      </c>
      <c r="G94" s="328">
        <v>0.5</v>
      </c>
      <c r="H94" s="252">
        <v>0.5</v>
      </c>
      <c r="I94" s="329">
        <f>E177</f>
        <v>0</v>
      </c>
      <c r="J94" s="287"/>
      <c r="K94" s="287"/>
      <c r="L94" s="287"/>
    </row>
    <row r="95" spans="1:12" ht="15.75" x14ac:dyDescent="0.25">
      <c r="A95" s="287"/>
      <c r="B95" s="330" t="s">
        <v>953</v>
      </c>
      <c r="C95" s="332">
        <v>5.0000000000000001E-3</v>
      </c>
      <c r="D95" s="327">
        <v>0.2</v>
      </c>
      <c r="E95" s="327">
        <f t="shared" si="2"/>
        <v>0.5</v>
      </c>
      <c r="F95" s="328">
        <f>0.5/2</f>
        <v>0.25</v>
      </c>
      <c r="G95" s="328">
        <v>0.5</v>
      </c>
      <c r="H95" s="252">
        <v>1.5</v>
      </c>
      <c r="I95" s="329">
        <f>I94</f>
        <v>0</v>
      </c>
      <c r="J95" s="287"/>
      <c r="K95" s="287"/>
      <c r="L95" s="287"/>
    </row>
    <row r="96" spans="1:12" ht="15.75" x14ac:dyDescent="0.25">
      <c r="A96" s="287"/>
      <c r="B96" s="291" t="s">
        <v>954</v>
      </c>
      <c r="C96" s="306"/>
      <c r="D96" s="287"/>
      <c r="E96" s="287"/>
      <c r="F96" s="287"/>
      <c r="G96" s="287"/>
      <c r="H96" s="287"/>
      <c r="I96" s="287"/>
      <c r="J96" s="287"/>
      <c r="K96" s="287"/>
      <c r="L96" s="287"/>
    </row>
    <row r="99" spans="1:8" ht="15.75" x14ac:dyDescent="0.25">
      <c r="A99" s="311" t="s">
        <v>929</v>
      </c>
      <c r="B99" s="306"/>
      <c r="C99" s="287"/>
      <c r="D99" s="287"/>
      <c r="E99" s="287"/>
      <c r="F99" s="287"/>
      <c r="G99" s="287"/>
      <c r="H99" s="287"/>
    </row>
    <row r="100" spans="1:8" ht="15.75" x14ac:dyDescent="0.25">
      <c r="A100" s="291" t="s">
        <v>930</v>
      </c>
      <c r="B100" s="265"/>
      <c r="C100" s="291"/>
      <c r="D100" s="291"/>
      <c r="E100" s="291"/>
      <c r="F100" s="291"/>
      <c r="G100" s="291"/>
      <c r="H100" s="291"/>
    </row>
    <row r="101" spans="1:8" ht="15.75" x14ac:dyDescent="0.25">
      <c r="A101" s="312" t="s">
        <v>931</v>
      </c>
      <c r="B101" s="313" t="s">
        <v>932</v>
      </c>
      <c r="C101" s="441" t="s">
        <v>933</v>
      </c>
      <c r="D101" s="442"/>
      <c r="E101" s="443" t="s">
        <v>934</v>
      </c>
      <c r="F101" s="443" t="s">
        <v>935</v>
      </c>
      <c r="G101" s="443" t="s">
        <v>936</v>
      </c>
      <c r="H101" s="443" t="s">
        <v>937</v>
      </c>
    </row>
    <row r="102" spans="1:8" ht="15.75" x14ac:dyDescent="0.25">
      <c r="A102" s="314" t="s">
        <v>938</v>
      </c>
      <c r="B102" s="315" t="s">
        <v>939</v>
      </c>
      <c r="C102" s="316" t="s">
        <v>940</v>
      </c>
      <c r="D102" s="317" t="s">
        <v>941</v>
      </c>
      <c r="E102" s="444"/>
      <c r="F102" s="444"/>
      <c r="G102" s="444"/>
      <c r="H102" s="444"/>
    </row>
    <row r="103" spans="1:8" ht="31.5" x14ac:dyDescent="0.25">
      <c r="A103" s="318"/>
      <c r="B103" s="319"/>
      <c r="C103" s="320" t="s">
        <v>942</v>
      </c>
      <c r="D103" s="321" t="s">
        <v>943</v>
      </c>
      <c r="E103" s="322" t="s">
        <v>944</v>
      </c>
      <c r="F103" s="445"/>
      <c r="G103" s="323" t="s">
        <v>57</v>
      </c>
      <c r="H103" s="445"/>
    </row>
    <row r="104" spans="1:8" ht="15.75" x14ac:dyDescent="0.25">
      <c r="A104" s="324" t="s">
        <v>945</v>
      </c>
      <c r="B104" s="325">
        <v>0.01</v>
      </c>
      <c r="C104" s="326">
        <v>5.0000000000000001E-3</v>
      </c>
      <c r="D104" s="327">
        <f>F104</f>
        <v>0.8</v>
      </c>
      <c r="E104" s="328">
        <f>0.7/2</f>
        <v>0.35</v>
      </c>
      <c r="F104" s="328">
        <v>0.8</v>
      </c>
      <c r="G104" s="252">
        <v>0.5</v>
      </c>
      <c r="H104" s="329">
        <v>150</v>
      </c>
    </row>
    <row r="105" spans="1:8" ht="15.75" x14ac:dyDescent="0.25">
      <c r="A105" s="330" t="s">
        <v>946</v>
      </c>
      <c r="B105" s="325">
        <v>0.03</v>
      </c>
      <c r="C105" s="327">
        <v>0.15</v>
      </c>
      <c r="D105" s="327">
        <f t="shared" ref="D105:D112" si="3">F105</f>
        <v>0.8</v>
      </c>
      <c r="E105" s="328">
        <f>0.7/2</f>
        <v>0.35</v>
      </c>
      <c r="F105" s="328">
        <v>0.8</v>
      </c>
      <c r="G105" s="252">
        <v>6</v>
      </c>
      <c r="H105" s="329">
        <v>150</v>
      </c>
    </row>
    <row r="106" spans="1:8" ht="15.75" x14ac:dyDescent="0.25">
      <c r="A106" s="330" t="s">
        <v>947</v>
      </c>
      <c r="B106" s="325">
        <v>0.03</v>
      </c>
      <c r="C106" s="327">
        <v>0.35</v>
      </c>
      <c r="D106" s="327">
        <f t="shared" si="3"/>
        <v>1</v>
      </c>
      <c r="E106" s="328">
        <f>0.7/2</f>
        <v>0.35</v>
      </c>
      <c r="F106" s="328">
        <v>1</v>
      </c>
      <c r="G106" s="252">
        <v>2000</v>
      </c>
      <c r="H106" s="329">
        <v>2500</v>
      </c>
    </row>
    <row r="107" spans="1:8" ht="15.75" x14ac:dyDescent="0.25">
      <c r="A107" s="330" t="s">
        <v>948</v>
      </c>
      <c r="B107" s="325">
        <v>0.01</v>
      </c>
      <c r="C107" s="327">
        <v>0.5</v>
      </c>
      <c r="D107" s="327">
        <f t="shared" si="3"/>
        <v>0.5</v>
      </c>
      <c r="E107" s="328">
        <f>0.7/2</f>
        <v>0.35</v>
      </c>
      <c r="F107" s="328">
        <v>0.5</v>
      </c>
      <c r="G107" s="252">
        <v>8</v>
      </c>
      <c r="H107" s="329">
        <v>2500</v>
      </c>
    </row>
    <row r="108" spans="1:8" ht="15.75" x14ac:dyDescent="0.25">
      <c r="A108" s="330" t="s">
        <v>949</v>
      </c>
      <c r="B108" s="325">
        <v>0.03</v>
      </c>
      <c r="C108" s="327">
        <v>0.25</v>
      </c>
      <c r="D108" s="327">
        <f t="shared" si="3"/>
        <v>1</v>
      </c>
      <c r="E108" s="328">
        <f>0.9/2</f>
        <v>0.45</v>
      </c>
      <c r="F108" s="328">
        <v>1</v>
      </c>
      <c r="G108" s="252">
        <v>10000</v>
      </c>
      <c r="H108" s="329">
        <v>150</v>
      </c>
    </row>
    <row r="109" spans="1:8" ht="15.75" x14ac:dyDescent="0.25">
      <c r="A109" s="330" t="s">
        <v>950</v>
      </c>
      <c r="B109" s="325">
        <v>0.01</v>
      </c>
      <c r="C109" s="327">
        <v>0.15</v>
      </c>
      <c r="D109" s="327">
        <f t="shared" si="3"/>
        <v>1</v>
      </c>
      <c r="E109" s="328">
        <f>0.95/2</f>
        <v>0.47499999999999998</v>
      </c>
      <c r="F109" s="328">
        <v>1</v>
      </c>
      <c r="G109" s="252">
        <v>2000</v>
      </c>
      <c r="H109" s="329">
        <v>150</v>
      </c>
    </row>
    <row r="110" spans="1:8" ht="15.75" x14ac:dyDescent="0.25">
      <c r="A110" s="330" t="s">
        <v>951</v>
      </c>
      <c r="B110" s="325">
        <v>0.01</v>
      </c>
      <c r="C110" s="327">
        <v>0.1</v>
      </c>
      <c r="D110" s="327">
        <f t="shared" si="3"/>
        <v>0.8</v>
      </c>
      <c r="E110" s="328">
        <f>0.8/2</f>
        <v>0.4</v>
      </c>
      <c r="F110" s="328">
        <v>0.8</v>
      </c>
      <c r="G110" s="252">
        <v>100</v>
      </c>
      <c r="H110" s="329">
        <v>150</v>
      </c>
    </row>
    <row r="111" spans="1:8" ht="31.5" x14ac:dyDescent="0.25">
      <c r="A111" s="331" t="s">
        <v>952</v>
      </c>
      <c r="B111" s="332">
        <v>5.0000000000000001E-3</v>
      </c>
      <c r="C111" s="327">
        <v>0.2</v>
      </c>
      <c r="D111" s="327">
        <f t="shared" si="3"/>
        <v>0.5</v>
      </c>
      <c r="E111" s="328">
        <f>0.5/2</f>
        <v>0.25</v>
      </c>
      <c r="F111" s="328">
        <v>0.5</v>
      </c>
      <c r="G111" s="252">
        <v>0.5</v>
      </c>
      <c r="H111" s="329">
        <f>C194</f>
        <v>0.1229</v>
      </c>
    </row>
    <row r="112" spans="1:8" ht="15.75" x14ac:dyDescent="0.25">
      <c r="A112" s="330" t="s">
        <v>953</v>
      </c>
      <c r="B112" s="332">
        <v>5.0000000000000001E-3</v>
      </c>
      <c r="C112" s="327">
        <v>0.2</v>
      </c>
      <c r="D112" s="327">
        <f t="shared" si="3"/>
        <v>0.5</v>
      </c>
      <c r="E112" s="328">
        <f>0.5/2</f>
        <v>0.25</v>
      </c>
      <c r="F112" s="328">
        <v>0.5</v>
      </c>
      <c r="G112" s="252">
        <v>1.5</v>
      </c>
      <c r="H112" s="329">
        <f>H111</f>
        <v>0.1229</v>
      </c>
    </row>
    <row r="114" spans="1:18" ht="15.75" x14ac:dyDescent="0.25">
      <c r="A114" s="432" t="s">
        <v>602</v>
      </c>
      <c r="B114" s="432" t="s">
        <v>975</v>
      </c>
      <c r="C114" s="446" t="s">
        <v>976</v>
      </c>
      <c r="D114" s="438" t="s">
        <v>977</v>
      </c>
      <c r="E114" s="449"/>
      <c r="F114" s="438" t="s">
        <v>978</v>
      </c>
      <c r="G114" s="449"/>
      <c r="H114" s="432" t="s">
        <v>978</v>
      </c>
      <c r="I114" s="434" t="s">
        <v>979</v>
      </c>
      <c r="J114" s="435"/>
      <c r="K114" s="435"/>
      <c r="L114" s="435"/>
      <c r="M114" s="435"/>
      <c r="N114" s="435"/>
      <c r="O114" s="435"/>
      <c r="P114" s="436"/>
      <c r="Q114" s="432" t="s">
        <v>1082</v>
      </c>
      <c r="R114" s="438" t="s">
        <v>1083</v>
      </c>
    </row>
    <row r="115" spans="1:18" ht="18.75" x14ac:dyDescent="0.25">
      <c r="A115" s="437"/>
      <c r="B115" s="437"/>
      <c r="C115" s="447"/>
      <c r="D115" s="440"/>
      <c r="E115" s="450"/>
      <c r="F115" s="440"/>
      <c r="G115" s="450"/>
      <c r="H115" s="433"/>
      <c r="I115" s="434" t="s">
        <v>980</v>
      </c>
      <c r="J115" s="435"/>
      <c r="K115" s="435"/>
      <c r="L115" s="436"/>
      <c r="M115" s="434" t="s">
        <v>981</v>
      </c>
      <c r="N115" s="435"/>
      <c r="O115" s="435"/>
      <c r="P115" s="436"/>
      <c r="Q115" s="437"/>
      <c r="R115" s="439"/>
    </row>
    <row r="116" spans="1:18" ht="78.75" x14ac:dyDescent="0.25">
      <c r="A116" s="433"/>
      <c r="B116" s="433"/>
      <c r="C116" s="448"/>
      <c r="D116" s="334" t="s">
        <v>982</v>
      </c>
      <c r="E116" s="334" t="s">
        <v>415</v>
      </c>
      <c r="F116" s="334" t="s">
        <v>983</v>
      </c>
      <c r="G116" s="334" t="s">
        <v>415</v>
      </c>
      <c r="H116" s="335" t="s">
        <v>984</v>
      </c>
      <c r="I116" s="336" t="s">
        <v>444</v>
      </c>
      <c r="J116" s="336" t="s">
        <v>985</v>
      </c>
      <c r="K116" s="336" t="s">
        <v>986</v>
      </c>
      <c r="L116" s="336" t="s">
        <v>987</v>
      </c>
      <c r="M116" s="336" t="s">
        <v>444</v>
      </c>
      <c r="N116" s="336" t="s">
        <v>985</v>
      </c>
      <c r="O116" s="336" t="s">
        <v>986</v>
      </c>
      <c r="P116" s="336" t="s">
        <v>987</v>
      </c>
      <c r="Q116" s="433"/>
      <c r="R116" s="440"/>
    </row>
    <row r="117" spans="1:18" ht="45" x14ac:dyDescent="0.25">
      <c r="A117" s="337" t="s">
        <v>988</v>
      </c>
      <c r="B117" s="338" t="s">
        <v>989</v>
      </c>
      <c r="C117" s="339" t="s">
        <v>990</v>
      </c>
      <c r="D117" s="340">
        <f>26.7*1000</f>
        <v>26700</v>
      </c>
      <c r="E117" s="341" t="s">
        <v>991</v>
      </c>
      <c r="F117" s="342">
        <v>98200</v>
      </c>
      <c r="G117" s="341" t="s">
        <v>991</v>
      </c>
      <c r="H117" s="343">
        <f>F117*D117/1000000</f>
        <v>2621.94</v>
      </c>
      <c r="I117" s="279">
        <v>2.6699999999999998E-5</v>
      </c>
      <c r="J117" s="279">
        <v>2.6699999999999998E-4</v>
      </c>
      <c r="K117" s="279">
        <v>2.6699999999999998E-4</v>
      </c>
      <c r="L117" s="279">
        <v>8.0099999999999998E-3</v>
      </c>
      <c r="M117" s="279">
        <v>4.0049999999999998E-5</v>
      </c>
      <c r="N117" s="279">
        <v>4.0049999999999998E-5</v>
      </c>
      <c r="O117" s="279">
        <v>4.0049999999999998E-5</v>
      </c>
      <c r="P117" s="344">
        <v>4.0049999999999998E-5</v>
      </c>
      <c r="Q117" s="340"/>
      <c r="R117" s="350" t="s">
        <v>1084</v>
      </c>
    </row>
    <row r="118" spans="1:18" ht="31.5" x14ac:dyDescent="0.25">
      <c r="A118" s="302" t="s">
        <v>992</v>
      </c>
      <c r="B118" s="345" t="s">
        <v>993</v>
      </c>
      <c r="C118" s="339" t="s">
        <v>990</v>
      </c>
      <c r="D118" s="346">
        <f>40.2*1000</f>
        <v>40200</v>
      </c>
      <c r="E118" s="341" t="s">
        <v>991</v>
      </c>
      <c r="F118" s="342">
        <v>806000</v>
      </c>
      <c r="G118" s="341" t="s">
        <v>991</v>
      </c>
      <c r="H118" s="343">
        <f t="shared" ref="H118:H161" si="4">F118*D118/1000000</f>
        <v>32401.200000000001</v>
      </c>
      <c r="I118" s="279">
        <v>2.8E-5</v>
      </c>
      <c r="J118" s="279">
        <v>2.7999999999999998E-4</v>
      </c>
      <c r="K118" s="279">
        <v>2.7999999999999998E-4</v>
      </c>
      <c r="L118" s="279">
        <v>8.3999999999999995E-3</v>
      </c>
      <c r="M118" s="279">
        <v>4.1999999999999998E-5</v>
      </c>
      <c r="N118" s="279">
        <v>4.1999999999999998E-5</v>
      </c>
      <c r="O118" s="279">
        <v>4.1999999999999998E-5</v>
      </c>
      <c r="P118" s="344">
        <v>4.1999999999999998E-5</v>
      </c>
      <c r="Q118" s="340"/>
      <c r="R118" s="351" t="s">
        <v>1085</v>
      </c>
    </row>
    <row r="119" spans="1:18" ht="31.5" x14ac:dyDescent="0.25">
      <c r="A119" s="302" t="s">
        <v>994</v>
      </c>
      <c r="B119" s="345" t="s">
        <v>995</v>
      </c>
      <c r="C119" s="339" t="s">
        <v>990</v>
      </c>
      <c r="D119" s="346">
        <f>40.2*1000</f>
        <v>40200</v>
      </c>
      <c r="E119" s="341" t="s">
        <v>991</v>
      </c>
      <c r="F119" s="342">
        <v>806000</v>
      </c>
      <c r="G119" s="341" t="s">
        <v>991</v>
      </c>
      <c r="H119" s="343">
        <f t="shared" si="4"/>
        <v>32401.200000000001</v>
      </c>
      <c r="I119" s="279">
        <v>1.206E-4</v>
      </c>
      <c r="J119" s="279">
        <v>1.206E-4</v>
      </c>
      <c r="K119" s="279">
        <v>4.0199999999999996E-4</v>
      </c>
      <c r="L119" s="279">
        <v>4.0199999999999996E-4</v>
      </c>
      <c r="M119" s="279">
        <v>2.4119999999999999E-5</v>
      </c>
      <c r="N119" s="279">
        <v>2.4119999999999999E-5</v>
      </c>
      <c r="O119" s="279">
        <v>2.4119999999999999E-5</v>
      </c>
      <c r="P119" s="344">
        <v>2.4119999999999999E-5</v>
      </c>
      <c r="Q119" s="340"/>
      <c r="R119" s="351" t="s">
        <v>1085</v>
      </c>
    </row>
    <row r="120" spans="1:18" ht="47.25" x14ac:dyDescent="0.25">
      <c r="A120" s="347" t="s">
        <v>996</v>
      </c>
      <c r="B120" s="345" t="s">
        <v>997</v>
      </c>
      <c r="C120" s="339" t="s">
        <v>990</v>
      </c>
      <c r="D120" s="346">
        <f>20*1000</f>
        <v>20000</v>
      </c>
      <c r="E120" s="341" t="s">
        <v>991</v>
      </c>
      <c r="F120" s="342">
        <v>101100</v>
      </c>
      <c r="G120" s="341" t="s">
        <v>991</v>
      </c>
      <c r="H120" s="343">
        <f t="shared" si="4"/>
        <v>2022</v>
      </c>
      <c r="I120" s="279">
        <v>2.0699999999999998E-5</v>
      </c>
      <c r="J120" s="279">
        <v>2.0699999999999999E-4</v>
      </c>
      <c r="K120" s="279">
        <v>2.0699999999999999E-4</v>
      </c>
      <c r="L120" s="279">
        <v>6.2099999999999994E-3</v>
      </c>
      <c r="M120" s="279">
        <v>3.1049999999999996E-5</v>
      </c>
      <c r="N120" s="279">
        <v>3.1049999999999996E-5</v>
      </c>
      <c r="O120" s="279">
        <v>3.1049999999999996E-5</v>
      </c>
      <c r="P120" s="344">
        <v>3.1049999999999996E-5</v>
      </c>
      <c r="Q120" s="340"/>
      <c r="R120" s="302" t="s">
        <v>1086</v>
      </c>
    </row>
    <row r="121" spans="1:18" ht="47.25" x14ac:dyDescent="0.25">
      <c r="A121" s="302" t="s">
        <v>998</v>
      </c>
      <c r="B121" s="345" t="s">
        <v>999</v>
      </c>
      <c r="C121" s="339" t="s">
        <v>990</v>
      </c>
      <c r="D121" s="346">
        <f>40.2*1000</f>
        <v>40200</v>
      </c>
      <c r="E121" s="341" t="s">
        <v>1000</v>
      </c>
      <c r="F121" s="342">
        <v>73300</v>
      </c>
      <c r="G121" s="341" t="s">
        <v>1001</v>
      </c>
      <c r="H121" s="343">
        <f t="shared" si="4"/>
        <v>2946.66</v>
      </c>
      <c r="I121" s="279">
        <v>1.206E-4</v>
      </c>
      <c r="J121" s="279">
        <v>1.206E-4</v>
      </c>
      <c r="K121" s="279">
        <v>4.0199999999999996E-4</v>
      </c>
      <c r="L121" s="279">
        <v>4.0199999999999996E-4</v>
      </c>
      <c r="M121" s="279">
        <v>2.4119999999999999E-5</v>
      </c>
      <c r="N121" s="279">
        <v>2.4119999999999999E-5</v>
      </c>
      <c r="O121" s="279">
        <v>2.4119999999999999E-5</v>
      </c>
      <c r="P121" s="344">
        <v>2.4119999999999999E-5</v>
      </c>
      <c r="Q121" s="340"/>
      <c r="R121" s="351" t="s">
        <v>1085</v>
      </c>
    </row>
    <row r="122" spans="1:18" ht="47.25" x14ac:dyDescent="0.25">
      <c r="A122" s="302" t="s">
        <v>1002</v>
      </c>
      <c r="B122" s="345" t="s">
        <v>617</v>
      </c>
      <c r="C122" s="339" t="s">
        <v>57</v>
      </c>
      <c r="D122" s="346">
        <v>28.2</v>
      </c>
      <c r="E122" s="341" t="s">
        <v>991</v>
      </c>
      <c r="F122" s="342">
        <v>9450</v>
      </c>
      <c r="G122" s="341" t="s">
        <v>991</v>
      </c>
      <c r="H122" s="343">
        <f t="shared" si="4"/>
        <v>0.26649</v>
      </c>
      <c r="I122" s="279">
        <v>2.8199999999999998E-5</v>
      </c>
      <c r="J122" s="279">
        <v>2.8199999999999997E-4</v>
      </c>
      <c r="K122" s="279">
        <v>2.8199999999999997E-4</v>
      </c>
      <c r="L122" s="279">
        <v>8.4599999999999988E-3</v>
      </c>
      <c r="M122" s="279">
        <v>4.2299999999999998E-5</v>
      </c>
      <c r="N122" s="279">
        <v>4.2299999999999998E-5</v>
      </c>
      <c r="O122" s="279">
        <v>4.2299999999999998E-5</v>
      </c>
      <c r="P122" s="344">
        <v>4.2299999999999998E-5</v>
      </c>
      <c r="Q122" s="340"/>
      <c r="R122" s="302" t="s">
        <v>1087</v>
      </c>
    </row>
    <row r="123" spans="1:18" ht="110.25" x14ac:dyDescent="0.25">
      <c r="A123" s="302" t="s">
        <v>1003</v>
      </c>
      <c r="B123" s="345" t="s">
        <v>1004</v>
      </c>
      <c r="C123" s="339" t="s">
        <v>57</v>
      </c>
      <c r="D123" s="346">
        <v>28.35</v>
      </c>
      <c r="E123" s="341" t="s">
        <v>991</v>
      </c>
      <c r="F123" s="342">
        <v>107000</v>
      </c>
      <c r="G123" s="341" t="s">
        <v>991</v>
      </c>
      <c r="H123" s="343">
        <f t="shared" si="4"/>
        <v>3.0334500000000002</v>
      </c>
      <c r="I123" s="279">
        <v>2.8199999999999998E-5</v>
      </c>
      <c r="J123" s="279">
        <v>2.8199999999999997E-4</v>
      </c>
      <c r="K123" s="279">
        <v>2.8199999999999997E-4</v>
      </c>
      <c r="L123" s="279">
        <v>8.4599999999999988E-3</v>
      </c>
      <c r="M123" s="279">
        <v>4.2299999999999998E-5</v>
      </c>
      <c r="N123" s="279">
        <v>4.2299999999999998E-5</v>
      </c>
      <c r="O123" s="279">
        <v>4.2299999999999998E-5</v>
      </c>
      <c r="P123" s="344">
        <v>4.2299999999999998E-5</v>
      </c>
      <c r="Q123" s="340"/>
      <c r="R123" s="302" t="s">
        <v>1088</v>
      </c>
    </row>
    <row r="124" spans="1:18" ht="31.5" x14ac:dyDescent="0.25">
      <c r="A124" s="302" t="s">
        <v>1005</v>
      </c>
      <c r="B124" s="345" t="s">
        <v>1006</v>
      </c>
      <c r="C124" s="339" t="s">
        <v>57</v>
      </c>
      <c r="D124" s="346">
        <v>31.75</v>
      </c>
      <c r="E124" s="341" t="s">
        <v>991</v>
      </c>
      <c r="F124" s="342">
        <v>97500</v>
      </c>
      <c r="G124" s="341" t="s">
        <v>991</v>
      </c>
      <c r="H124" s="343">
        <f t="shared" si="4"/>
        <v>3.0956250000000001</v>
      </c>
      <c r="I124" s="279">
        <v>9.7499999999999998E-5</v>
      </c>
      <c r="J124" s="279">
        <v>9.7499999999999998E-5</v>
      </c>
      <c r="K124" s="279">
        <v>3.2499999999999999E-4</v>
      </c>
      <c r="L124" s="279">
        <v>3.2499999999999999E-4</v>
      </c>
      <c r="M124" s="279">
        <v>1.95E-5</v>
      </c>
      <c r="N124" s="279">
        <v>1.95E-5</v>
      </c>
      <c r="O124" s="279">
        <v>1.95E-5</v>
      </c>
      <c r="P124" s="344">
        <v>1.95E-5</v>
      </c>
      <c r="Q124" s="340"/>
      <c r="R124" s="351" t="s">
        <v>1085</v>
      </c>
    </row>
    <row r="125" spans="1:18" ht="47.25" x14ac:dyDescent="0.25">
      <c r="A125" s="302" t="s">
        <v>1007</v>
      </c>
      <c r="B125" s="345" t="s">
        <v>1008</v>
      </c>
      <c r="C125" s="339" t="s">
        <v>57</v>
      </c>
      <c r="D125" s="346">
        <f>46.4</f>
        <v>46.4</v>
      </c>
      <c r="E125" s="341" t="s">
        <v>1000</v>
      </c>
      <c r="F125" s="342">
        <v>61600</v>
      </c>
      <c r="G125" s="341" t="s">
        <v>1001</v>
      </c>
      <c r="H125" s="343">
        <f t="shared" si="4"/>
        <v>2.8582399999999999</v>
      </c>
      <c r="I125" s="279">
        <v>6.032E-8</v>
      </c>
      <c r="J125" s="279">
        <v>6.032E-8</v>
      </c>
      <c r="K125" s="279">
        <v>3.016E-7</v>
      </c>
      <c r="L125" s="279">
        <v>3.016E-7</v>
      </c>
      <c r="M125" s="279">
        <v>6.0319999999999998E-9</v>
      </c>
      <c r="N125" s="279">
        <v>6.0319999999999998E-9</v>
      </c>
      <c r="O125" s="279">
        <v>6.0319999999999998E-9</v>
      </c>
      <c r="P125" s="344">
        <v>6.0319999999999998E-9</v>
      </c>
      <c r="Q125" s="340"/>
      <c r="R125" s="302" t="s">
        <v>1089</v>
      </c>
    </row>
    <row r="126" spans="1:18" ht="141.75" x14ac:dyDescent="0.25">
      <c r="A126" s="302" t="s">
        <v>1009</v>
      </c>
      <c r="B126" s="345" t="s">
        <v>1010</v>
      </c>
      <c r="C126" s="339" t="s">
        <v>957</v>
      </c>
      <c r="D126" s="346">
        <f>40.2*944/1000</f>
        <v>37.948800000000006</v>
      </c>
      <c r="E126" s="341" t="s">
        <v>1011</v>
      </c>
      <c r="F126" s="342">
        <v>77300</v>
      </c>
      <c r="G126" s="341" t="s">
        <v>1001</v>
      </c>
      <c r="H126" s="343">
        <f t="shared" si="4"/>
        <v>2.9334422400000002</v>
      </c>
      <c r="I126" s="279">
        <v>1.13928E-7</v>
      </c>
      <c r="J126" s="279">
        <v>1.13928E-7</v>
      </c>
      <c r="K126" s="279">
        <v>3.7976000000000001E-7</v>
      </c>
      <c r="L126" s="279">
        <v>3.7976000000000001E-7</v>
      </c>
      <c r="M126" s="279">
        <v>2.2785599999999995E-8</v>
      </c>
      <c r="N126" s="279">
        <v>2.2785599999999995E-8</v>
      </c>
      <c r="O126" s="279">
        <v>2.2785599999999995E-8</v>
      </c>
      <c r="P126" s="344">
        <v>2.2785599999999995E-8</v>
      </c>
      <c r="Q126" s="340">
        <v>2.2411459459459466E-6</v>
      </c>
      <c r="R126" s="351" t="s">
        <v>1085</v>
      </c>
    </row>
    <row r="127" spans="1:18" ht="47.25" x14ac:dyDescent="0.25">
      <c r="A127" s="302" t="s">
        <v>1012</v>
      </c>
      <c r="B127" s="345" t="s">
        <v>1013</v>
      </c>
      <c r="C127" s="339" t="s">
        <v>57</v>
      </c>
      <c r="D127" s="346">
        <v>2.5</v>
      </c>
      <c r="E127" s="341" t="s">
        <v>991</v>
      </c>
      <c r="F127" s="342">
        <v>259399.99999999997</v>
      </c>
      <c r="G127" s="341" t="s">
        <v>1001</v>
      </c>
      <c r="H127" s="343">
        <f t="shared" si="4"/>
        <v>0.64849999999999985</v>
      </c>
      <c r="I127" s="279">
        <v>2.4700000000000001E-6</v>
      </c>
      <c r="J127" s="279">
        <v>2.4700000000000001E-6</v>
      </c>
      <c r="K127" s="279">
        <v>1.235E-5</v>
      </c>
      <c r="L127" s="279">
        <v>1.235E-5</v>
      </c>
      <c r="M127" s="279">
        <v>2.4700000000000003E-7</v>
      </c>
      <c r="N127" s="279">
        <v>2.4700000000000003E-7</v>
      </c>
      <c r="O127" s="279">
        <v>2.4700000000000003E-7</v>
      </c>
      <c r="P127" s="344">
        <v>2.4700000000000003E-7</v>
      </c>
      <c r="Q127" s="340"/>
      <c r="R127" s="302" t="s">
        <v>1090</v>
      </c>
    </row>
    <row r="128" spans="1:18" ht="31.5" x14ac:dyDescent="0.25">
      <c r="A128" s="302" t="s">
        <v>1014</v>
      </c>
      <c r="B128" s="345" t="s">
        <v>1015</v>
      </c>
      <c r="C128" s="339" t="s">
        <v>57</v>
      </c>
      <c r="D128" s="346">
        <v>38.700000000000003</v>
      </c>
      <c r="E128" s="341" t="s">
        <v>991</v>
      </c>
      <c r="F128" s="342">
        <v>44700</v>
      </c>
      <c r="G128" s="341" t="s">
        <v>991</v>
      </c>
      <c r="H128" s="343">
        <f t="shared" si="4"/>
        <v>1.7298900000000001</v>
      </c>
      <c r="I128" s="279">
        <v>2.8199999999999998E-5</v>
      </c>
      <c r="J128" s="279">
        <v>2.8199999999999998E-5</v>
      </c>
      <c r="K128" s="279">
        <v>1.4099999999999998E-4</v>
      </c>
      <c r="L128" s="279">
        <v>1.4099999999999998E-4</v>
      </c>
      <c r="M128" s="279">
        <v>2.8200000000000001E-6</v>
      </c>
      <c r="N128" s="279">
        <v>2.8200000000000001E-6</v>
      </c>
      <c r="O128" s="279">
        <v>2.8200000000000001E-6</v>
      </c>
      <c r="P128" s="344">
        <v>2.8200000000000001E-6</v>
      </c>
      <c r="Q128" s="340"/>
      <c r="R128" s="302" t="s">
        <v>1091</v>
      </c>
    </row>
    <row r="129" spans="1:18" ht="204.75" x14ac:dyDescent="0.25">
      <c r="A129" s="302" t="s">
        <v>1016</v>
      </c>
      <c r="B129" s="345" t="s">
        <v>1017</v>
      </c>
      <c r="C129" s="339" t="s">
        <v>57</v>
      </c>
      <c r="D129" s="346">
        <v>38.700000000000003</v>
      </c>
      <c r="E129" s="341" t="s">
        <v>991</v>
      </c>
      <c r="F129" s="342">
        <v>44700</v>
      </c>
      <c r="G129" s="341" t="s">
        <v>991</v>
      </c>
      <c r="H129" s="343">
        <f t="shared" si="4"/>
        <v>1.7298900000000001</v>
      </c>
      <c r="I129" s="279">
        <v>3.8699999999999999E-5</v>
      </c>
      <c r="J129" s="279">
        <v>3.8699999999999999E-5</v>
      </c>
      <c r="K129" s="279">
        <v>1.9349999999999999E-4</v>
      </c>
      <c r="L129" s="279">
        <v>1.9349999999999999E-4</v>
      </c>
      <c r="M129" s="279">
        <v>3.8700000000000002E-6</v>
      </c>
      <c r="N129" s="279">
        <v>3.8700000000000002E-6</v>
      </c>
      <c r="O129" s="279">
        <v>3.8700000000000002E-6</v>
      </c>
      <c r="P129" s="344">
        <v>3.8700000000000002E-6</v>
      </c>
      <c r="Q129" s="340"/>
      <c r="R129" s="302" t="s">
        <v>1092</v>
      </c>
    </row>
    <row r="130" spans="1:18" ht="31.5" x14ac:dyDescent="0.25">
      <c r="A130" s="302" t="s">
        <v>1018</v>
      </c>
      <c r="B130" s="345" t="s">
        <v>1019</v>
      </c>
      <c r="C130" s="339" t="s">
        <v>57</v>
      </c>
      <c r="D130" s="346">
        <v>7.1</v>
      </c>
      <c r="E130" s="341" t="s">
        <v>991</v>
      </c>
      <c r="F130" s="342">
        <v>171800</v>
      </c>
      <c r="G130" s="341" t="s">
        <v>991</v>
      </c>
      <c r="H130" s="343">
        <f t="shared" si="4"/>
        <v>1.2197800000000001</v>
      </c>
      <c r="I130" s="279">
        <v>7.0599999999999993E-6</v>
      </c>
      <c r="J130" s="279">
        <v>7.0599999999999993E-6</v>
      </c>
      <c r="K130" s="279">
        <v>3.5299999999999997E-5</v>
      </c>
      <c r="L130" s="279">
        <v>3.5299999999999997E-5</v>
      </c>
      <c r="M130" s="279">
        <v>7.0599999999999989E-7</v>
      </c>
      <c r="N130" s="279">
        <v>7.0599999999999989E-7</v>
      </c>
      <c r="O130" s="279">
        <v>7.0599999999999989E-7</v>
      </c>
      <c r="P130" s="344">
        <v>7.0599999999999989E-7</v>
      </c>
      <c r="Q130" s="340"/>
      <c r="R130" s="351" t="s">
        <v>1085</v>
      </c>
    </row>
    <row r="131" spans="1:18" ht="157.5" x14ac:dyDescent="0.25">
      <c r="A131" s="302" t="s">
        <v>1020</v>
      </c>
      <c r="B131" s="345" t="s">
        <v>1021</v>
      </c>
      <c r="C131" s="339" t="s">
        <v>957</v>
      </c>
      <c r="D131" s="346">
        <f>46.65*(0.502)</f>
        <v>23.418299999999999</v>
      </c>
      <c r="E131" s="341" t="s">
        <v>1022</v>
      </c>
      <c r="F131" s="342">
        <v>63000</v>
      </c>
      <c r="G131" s="341" t="s">
        <v>991</v>
      </c>
      <c r="H131" s="343">
        <f t="shared" si="4"/>
        <v>1.4753528999999999</v>
      </c>
      <c r="I131" s="279">
        <v>2.5542000000000001E-8</v>
      </c>
      <c r="J131" s="279">
        <v>2.5542000000000001E-8</v>
      </c>
      <c r="K131" s="279">
        <v>1.2771000000000002E-7</v>
      </c>
      <c r="L131" s="279">
        <v>1.2771000000000002E-7</v>
      </c>
      <c r="M131" s="279">
        <v>2.5541999999999997E-9</v>
      </c>
      <c r="N131" s="279">
        <v>2.5541999999999997E-9</v>
      </c>
      <c r="O131" s="279">
        <v>2.5541999999999997E-9</v>
      </c>
      <c r="P131" s="344">
        <v>2.5541999999999997E-9</v>
      </c>
      <c r="Q131" s="340">
        <v>2.2411459459459466E-6</v>
      </c>
      <c r="R131" s="302" t="s">
        <v>1093</v>
      </c>
    </row>
    <row r="132" spans="1:18" ht="31.5" x14ac:dyDescent="0.25">
      <c r="A132" s="302" t="s">
        <v>1023</v>
      </c>
      <c r="B132" s="345" t="s">
        <v>1024</v>
      </c>
      <c r="C132" s="339" t="s">
        <v>57</v>
      </c>
      <c r="D132" s="279">
        <v>49.5</v>
      </c>
      <c r="E132" s="341" t="s">
        <v>1001</v>
      </c>
      <c r="F132" s="342">
        <v>51300</v>
      </c>
      <c r="G132" s="341" t="s">
        <v>991</v>
      </c>
      <c r="H132" s="343">
        <f t="shared" si="4"/>
        <v>2.5393500000000002</v>
      </c>
      <c r="I132" s="279">
        <v>4.9499999999999997E-5</v>
      </c>
      <c r="J132" s="279">
        <v>4.9499999999999997E-5</v>
      </c>
      <c r="K132" s="279">
        <v>2.475E-4</v>
      </c>
      <c r="L132" s="279">
        <v>2.475E-4</v>
      </c>
      <c r="M132" s="279">
        <v>4.95E-6</v>
      </c>
      <c r="N132" s="279">
        <v>4.95E-6</v>
      </c>
      <c r="O132" s="279">
        <v>4.95E-6</v>
      </c>
      <c r="P132" s="344">
        <v>4.95E-6</v>
      </c>
      <c r="Q132" s="340"/>
      <c r="R132" s="351" t="s">
        <v>1085</v>
      </c>
    </row>
    <row r="133" spans="1:18" ht="110.25" x14ac:dyDescent="0.25">
      <c r="A133" s="302" t="s">
        <v>961</v>
      </c>
      <c r="B133" s="345" t="s">
        <v>618</v>
      </c>
      <c r="C133" s="339" t="s">
        <v>1025</v>
      </c>
      <c r="D133" s="279">
        <f>45.1*0.8404</f>
        <v>37.90204</v>
      </c>
      <c r="E133" s="341" t="s">
        <v>1026</v>
      </c>
      <c r="F133" s="342">
        <v>64099.999999999993</v>
      </c>
      <c r="G133" s="341" t="s">
        <v>991</v>
      </c>
      <c r="H133" s="343">
        <f t="shared" si="4"/>
        <v>2.4295207639999994</v>
      </c>
      <c r="I133" s="279"/>
      <c r="J133" s="279"/>
      <c r="K133" s="279"/>
      <c r="L133" s="279"/>
      <c r="M133" s="279"/>
      <c r="N133" s="279"/>
      <c r="O133" s="279"/>
      <c r="P133" s="344"/>
      <c r="Q133" s="340">
        <v>1.759262433046875E-5</v>
      </c>
      <c r="R133" s="302" t="s">
        <v>1094</v>
      </c>
    </row>
    <row r="134" spans="1:18" ht="47.25" x14ac:dyDescent="0.25">
      <c r="A134" s="302" t="s">
        <v>1027</v>
      </c>
      <c r="B134" s="345" t="s">
        <v>618</v>
      </c>
      <c r="C134" s="339" t="s">
        <v>1028</v>
      </c>
      <c r="D134" s="279">
        <v>33.6</v>
      </c>
      <c r="E134" s="341" t="s">
        <v>1026</v>
      </c>
      <c r="F134" s="342">
        <v>56100</v>
      </c>
      <c r="G134" s="341" t="s">
        <v>1001</v>
      </c>
      <c r="H134" s="343">
        <f t="shared" si="4"/>
        <v>1.88496</v>
      </c>
      <c r="I134" s="279">
        <v>3.3599999999999996E-8</v>
      </c>
      <c r="J134" s="279">
        <v>3.3599999999999996E-8</v>
      </c>
      <c r="K134" s="279">
        <v>1.6799999999999997E-7</v>
      </c>
      <c r="L134" s="279">
        <v>1.6799999999999997E-7</v>
      </c>
      <c r="M134" s="279">
        <v>3.3600000000000004E-9</v>
      </c>
      <c r="N134" s="279">
        <v>3.3600000000000004E-9</v>
      </c>
      <c r="O134" s="279">
        <v>3.3600000000000004E-9</v>
      </c>
      <c r="P134" s="344">
        <v>3.3600000000000004E-9</v>
      </c>
      <c r="Q134" s="340">
        <v>1.759262433046875E-5</v>
      </c>
      <c r="R134" s="351" t="s">
        <v>1085</v>
      </c>
    </row>
    <row r="135" spans="1:18" ht="63" x14ac:dyDescent="0.25">
      <c r="A135" s="302" t="s">
        <v>1029</v>
      </c>
      <c r="B135" s="345" t="s">
        <v>1030</v>
      </c>
      <c r="C135" s="339" t="s">
        <v>57</v>
      </c>
      <c r="D135" s="279">
        <v>44.7</v>
      </c>
      <c r="E135" s="341" t="s">
        <v>1001</v>
      </c>
      <c r="F135" s="342">
        <v>64100</v>
      </c>
      <c r="G135" s="341" t="s">
        <v>1001</v>
      </c>
      <c r="H135" s="343">
        <f t="shared" si="4"/>
        <v>2.8652700000000002</v>
      </c>
      <c r="I135" s="279">
        <v>1.3260000000000002E-4</v>
      </c>
      <c r="J135" s="279">
        <v>1.3260000000000002E-4</v>
      </c>
      <c r="K135" s="279">
        <v>4.4199999999999996E-4</v>
      </c>
      <c r="L135" s="279">
        <v>4.4199999999999996E-4</v>
      </c>
      <c r="M135" s="279">
        <v>2.6519999999999997E-5</v>
      </c>
      <c r="N135" s="279">
        <v>2.6519999999999997E-5</v>
      </c>
      <c r="O135" s="279">
        <v>2.6519999999999997E-5</v>
      </c>
      <c r="P135" s="344">
        <v>2.6519999999999997E-5</v>
      </c>
      <c r="Q135" s="340"/>
      <c r="R135" s="302" t="s">
        <v>1095</v>
      </c>
    </row>
    <row r="136" spans="1:18" ht="141.75" x14ac:dyDescent="0.25">
      <c r="A136" s="302" t="s">
        <v>956</v>
      </c>
      <c r="B136" s="345" t="s">
        <v>1031</v>
      </c>
      <c r="C136" s="339" t="s">
        <v>957</v>
      </c>
      <c r="D136" s="279">
        <f>(42.3+43.3)/2*0.837*1000/1000</f>
        <v>35.823599999999999</v>
      </c>
      <c r="E136" s="341" t="s">
        <v>1011</v>
      </c>
      <c r="F136" s="342">
        <v>74000</v>
      </c>
      <c r="G136" s="341" t="s">
        <v>991</v>
      </c>
      <c r="H136" s="343">
        <f t="shared" si="4"/>
        <v>2.6509464</v>
      </c>
      <c r="I136" s="279">
        <v>1.0836E-7</v>
      </c>
      <c r="J136" s="279">
        <v>1.0836E-7</v>
      </c>
      <c r="K136" s="279">
        <v>3.6119999999999998E-7</v>
      </c>
      <c r="L136" s="279">
        <v>3.6119999999999998E-7</v>
      </c>
      <c r="M136" s="279">
        <v>2.1671999999999997E-8</v>
      </c>
      <c r="N136" s="279">
        <v>2.1671999999999997E-8</v>
      </c>
      <c r="O136" s="279">
        <v>2.1671999999999997E-8</v>
      </c>
      <c r="P136" s="344">
        <v>2.1671999999999997E-8</v>
      </c>
      <c r="Q136" s="340">
        <v>2.2411459459459466E-6</v>
      </c>
      <c r="R136" s="302" t="s">
        <v>1096</v>
      </c>
    </row>
    <row r="137" spans="1:18" ht="96.75" x14ac:dyDescent="0.25">
      <c r="A137" s="302" t="s">
        <v>959</v>
      </c>
      <c r="B137" s="345" t="s">
        <v>1032</v>
      </c>
      <c r="C137" s="339" t="s">
        <v>957</v>
      </c>
      <c r="D137" s="346">
        <f>(44.5*(715/780)/2)/1000</f>
        <v>2.0395833333333332E-2</v>
      </c>
      <c r="E137" s="341" t="s">
        <v>1033</v>
      </c>
      <c r="F137" s="342">
        <v>69200</v>
      </c>
      <c r="G137" s="341" t="s">
        <v>1001</v>
      </c>
      <c r="H137" s="343">
        <f>F137*D137/1000000</f>
        <v>1.4113916666666667E-3</v>
      </c>
      <c r="I137" s="279">
        <v>9.8345999999999986E-8</v>
      </c>
      <c r="J137" s="279">
        <v>9.8345999999999986E-8</v>
      </c>
      <c r="K137" s="279">
        <v>3.2781999999999998E-7</v>
      </c>
      <c r="L137" s="279">
        <v>3.2781999999999998E-7</v>
      </c>
      <c r="M137" s="279">
        <v>1.9669199999999997E-8</v>
      </c>
      <c r="N137" s="279">
        <v>1.9669199999999997E-8</v>
      </c>
      <c r="O137" s="279">
        <v>1.9669199999999997E-8</v>
      </c>
      <c r="P137" s="344">
        <v>1.9669199999999997E-8</v>
      </c>
      <c r="Q137" s="340">
        <v>2.2411459459459466E-6</v>
      </c>
      <c r="R137" s="302" t="s">
        <v>1097</v>
      </c>
    </row>
    <row r="138" spans="1:18" ht="94.5" x14ac:dyDescent="0.25">
      <c r="A138" s="302" t="s">
        <v>1034</v>
      </c>
      <c r="B138" s="345" t="s">
        <v>1035</v>
      </c>
      <c r="C138" s="339" t="s">
        <v>957</v>
      </c>
      <c r="D138" s="279">
        <f>D137</f>
        <v>2.0395833333333332E-2</v>
      </c>
      <c r="E138" s="348" t="str">
        <f>E137</f>
        <v xml:space="preserve">PCI - Despacho n.º 17313/2008; densidade - https://www.engineeringtoolbox.com/fuels-densities-specific-volumes-d_166.html </v>
      </c>
      <c r="F138" s="342">
        <v>70000</v>
      </c>
      <c r="G138" s="341" t="s">
        <v>1036</v>
      </c>
      <c r="H138" s="343">
        <f t="shared" si="4"/>
        <v>1.4277083333333333E-3</v>
      </c>
      <c r="I138" s="279">
        <v>9.4358999999999978E-8</v>
      </c>
      <c r="J138" s="279">
        <v>9.4358999999999978E-8</v>
      </c>
      <c r="K138" s="279">
        <v>3.1453E-7</v>
      </c>
      <c r="L138" s="279">
        <v>3.1453E-7</v>
      </c>
      <c r="M138" s="279">
        <v>1.8871799999999998E-8</v>
      </c>
      <c r="N138" s="279">
        <v>1.8871799999999998E-8</v>
      </c>
      <c r="O138" s="279">
        <v>1.8871799999999998E-8</v>
      </c>
      <c r="P138" s="344">
        <v>1.8871799999999998E-8</v>
      </c>
      <c r="Q138" s="340">
        <v>2.2411459459459466E-6</v>
      </c>
      <c r="R138" s="351" t="s">
        <v>1085</v>
      </c>
    </row>
    <row r="139" spans="1:18" ht="94.5" x14ac:dyDescent="0.25">
      <c r="A139" s="302" t="s">
        <v>1037</v>
      </c>
      <c r="B139" s="345" t="s">
        <v>1038</v>
      </c>
      <c r="C139" s="339" t="s">
        <v>957</v>
      </c>
      <c r="D139" s="279">
        <f>D138</f>
        <v>2.0395833333333332E-2</v>
      </c>
      <c r="E139" s="348" t="str">
        <f>E138</f>
        <v xml:space="preserve">PCI - Despacho n.º 17313/2008; densidade - https://www.engineeringtoolbox.com/fuels-densities-specific-volumes-d_166.html </v>
      </c>
      <c r="F139" s="342">
        <v>70000</v>
      </c>
      <c r="G139" s="341" t="s">
        <v>1036</v>
      </c>
      <c r="H139" s="343">
        <f t="shared" si="4"/>
        <v>1.4277083333333333E-3</v>
      </c>
      <c r="I139" s="279">
        <v>1.3289999999999998E-4</v>
      </c>
      <c r="J139" s="279">
        <v>1.3289999999999998E-4</v>
      </c>
      <c r="K139" s="279">
        <v>4.4299999999999998E-4</v>
      </c>
      <c r="L139" s="279">
        <v>4.4299999999999998E-4</v>
      </c>
      <c r="M139" s="279">
        <v>2.6579999999999996E-5</v>
      </c>
      <c r="N139" s="279">
        <v>2.6579999999999996E-5</v>
      </c>
      <c r="O139" s="279">
        <v>2.6579999999999996E-5</v>
      </c>
      <c r="P139" s="344">
        <v>2.6579999999999996E-5</v>
      </c>
      <c r="Q139" s="340">
        <v>2.2411459459459466E-6</v>
      </c>
      <c r="R139" s="351" t="s">
        <v>1085</v>
      </c>
    </row>
    <row r="140" spans="1:18" ht="110.25" x14ac:dyDescent="0.25">
      <c r="A140" s="302" t="s">
        <v>1039</v>
      </c>
      <c r="B140" s="345" t="s">
        <v>1040</v>
      </c>
      <c r="C140" s="339" t="s">
        <v>57</v>
      </c>
      <c r="D140" s="279">
        <v>8.0500000000000007</v>
      </c>
      <c r="E140" s="341" t="s">
        <v>991</v>
      </c>
      <c r="F140" s="342">
        <v>101100</v>
      </c>
      <c r="G140" s="341" t="s">
        <v>991</v>
      </c>
      <c r="H140" s="343">
        <f t="shared" si="4"/>
        <v>0.81385500000000011</v>
      </c>
      <c r="I140" s="279">
        <v>1.19E-5</v>
      </c>
      <c r="J140" s="279">
        <v>1.1899999999999999E-4</v>
      </c>
      <c r="K140" s="279">
        <v>1.1899999999999999E-4</v>
      </c>
      <c r="L140" s="279">
        <v>3.5699999999999998E-3</v>
      </c>
      <c r="M140" s="279">
        <v>1.785E-5</v>
      </c>
      <c r="N140" s="279">
        <v>1.785E-5</v>
      </c>
      <c r="O140" s="279">
        <v>1.785E-5</v>
      </c>
      <c r="P140" s="344">
        <v>1.785E-5</v>
      </c>
      <c r="Q140" s="340"/>
      <c r="R140" s="302" t="s">
        <v>1098</v>
      </c>
    </row>
    <row r="141" spans="1:18" ht="31.5" x14ac:dyDescent="0.25">
      <c r="A141" s="302" t="s">
        <v>1041</v>
      </c>
      <c r="B141" s="345" t="s">
        <v>1042</v>
      </c>
      <c r="C141" s="339" t="s">
        <v>57</v>
      </c>
      <c r="D141" s="279">
        <v>15.5</v>
      </c>
      <c r="E141" s="341" t="s">
        <v>991</v>
      </c>
      <c r="F141" s="342">
        <v>101100</v>
      </c>
      <c r="G141" s="341" t="s">
        <v>991</v>
      </c>
      <c r="H141" s="343">
        <f t="shared" si="4"/>
        <v>1.5670500000000001</v>
      </c>
      <c r="I141" s="279">
        <v>2.8199999999999998E-5</v>
      </c>
      <c r="J141" s="279">
        <v>2.8199999999999997E-4</v>
      </c>
      <c r="K141" s="279">
        <v>2.8199999999999997E-4</v>
      </c>
      <c r="L141" s="279">
        <v>8.4599999999999988E-3</v>
      </c>
      <c r="M141" s="279">
        <v>4.2299999999999998E-5</v>
      </c>
      <c r="N141" s="279">
        <v>4.2299999999999998E-5</v>
      </c>
      <c r="O141" s="279">
        <v>4.2299999999999998E-5</v>
      </c>
      <c r="P141" s="344">
        <v>4.2299999999999998E-5</v>
      </c>
      <c r="Q141" s="340"/>
      <c r="R141" s="351" t="s">
        <v>1085</v>
      </c>
    </row>
    <row r="142" spans="1:18" ht="63" x14ac:dyDescent="0.25">
      <c r="A142" s="302" t="s">
        <v>1043</v>
      </c>
      <c r="B142" s="345" t="s">
        <v>151</v>
      </c>
      <c r="C142" s="339" t="s">
        <v>57</v>
      </c>
      <c r="D142" s="279">
        <v>40.200000000000003</v>
      </c>
      <c r="E142" s="341" t="s">
        <v>991</v>
      </c>
      <c r="F142" s="342">
        <v>73300</v>
      </c>
      <c r="G142" s="341" t="s">
        <v>1001</v>
      </c>
      <c r="H142" s="343">
        <f t="shared" si="4"/>
        <v>2.9466600000000001</v>
      </c>
      <c r="I142" s="279">
        <v>1.2060000000000001E-7</v>
      </c>
      <c r="J142" s="279">
        <v>1.2060000000000001E-7</v>
      </c>
      <c r="K142" s="279">
        <v>4.0200000000000003E-7</v>
      </c>
      <c r="L142" s="279">
        <v>4.0200000000000003E-7</v>
      </c>
      <c r="M142" s="279">
        <v>2.412E-8</v>
      </c>
      <c r="N142" s="279">
        <v>2.412E-8</v>
      </c>
      <c r="O142" s="279">
        <v>2.412E-8</v>
      </c>
      <c r="P142" s="344">
        <v>2.412E-8</v>
      </c>
      <c r="Q142" s="340"/>
      <c r="R142" s="302" t="s">
        <v>1099</v>
      </c>
    </row>
    <row r="143" spans="1:18" ht="78.75" x14ac:dyDescent="0.25">
      <c r="A143" s="302" t="s">
        <v>1044</v>
      </c>
      <c r="B143" s="345" t="s">
        <v>1045</v>
      </c>
      <c r="C143" s="339" t="s">
        <v>57</v>
      </c>
      <c r="D143" s="279">
        <v>43</v>
      </c>
      <c r="E143" s="341" t="s">
        <v>991</v>
      </c>
      <c r="F143" s="342">
        <v>73300</v>
      </c>
      <c r="G143" s="341" t="s">
        <v>1001</v>
      </c>
      <c r="H143" s="343">
        <f t="shared" si="4"/>
        <v>3.1518999999999999</v>
      </c>
      <c r="I143" s="279">
        <v>1.2899999999999999E-4</v>
      </c>
      <c r="J143" s="279">
        <v>1.2899999999999999E-4</v>
      </c>
      <c r="K143" s="279">
        <v>4.2999999999999999E-4</v>
      </c>
      <c r="L143" s="279">
        <v>4.2999999999999999E-4</v>
      </c>
      <c r="M143" s="279">
        <v>2.58E-5</v>
      </c>
      <c r="N143" s="279">
        <v>2.58E-5</v>
      </c>
      <c r="O143" s="279">
        <v>2.58E-5</v>
      </c>
      <c r="P143" s="344">
        <v>2.58E-5</v>
      </c>
      <c r="Q143" s="340"/>
      <c r="R143" s="302" t="s">
        <v>1100</v>
      </c>
    </row>
    <row r="144" spans="1:18" ht="78.75" x14ac:dyDescent="0.25">
      <c r="A144" s="302" t="s">
        <v>1046</v>
      </c>
      <c r="B144" s="345" t="s">
        <v>152</v>
      </c>
      <c r="C144" s="339" t="s">
        <v>957</v>
      </c>
      <c r="D144" s="279">
        <f>44.5*(0.76+0.79)/2/1000*1000</f>
        <v>34.487500000000004</v>
      </c>
      <c r="E144" s="341" t="s">
        <v>1047</v>
      </c>
      <c r="F144" s="342">
        <v>73300</v>
      </c>
      <c r="G144" s="341" t="s">
        <v>1001</v>
      </c>
      <c r="H144" s="343">
        <f t="shared" si="4"/>
        <v>2.5279337500000003</v>
      </c>
      <c r="I144" s="279">
        <v>1.02795E-7</v>
      </c>
      <c r="J144" s="279">
        <v>1.02795E-7</v>
      </c>
      <c r="K144" s="279">
        <v>3.4265000000000001E-7</v>
      </c>
      <c r="L144" s="279">
        <v>3.4265000000000001E-7</v>
      </c>
      <c r="M144" s="279">
        <v>2.0559000000000002E-8</v>
      </c>
      <c r="N144" s="279">
        <v>2.0559000000000002E-8</v>
      </c>
      <c r="O144" s="279">
        <v>2.0559000000000002E-8</v>
      </c>
      <c r="P144" s="344">
        <v>2.0559000000000002E-8</v>
      </c>
      <c r="Q144" s="340">
        <v>2.2411459459459466E-6</v>
      </c>
      <c r="R144" s="302" t="s">
        <v>1101</v>
      </c>
    </row>
    <row r="145" spans="1:18" ht="47.25" x14ac:dyDescent="0.25">
      <c r="A145" s="302" t="s">
        <v>1048</v>
      </c>
      <c r="B145" s="345" t="s">
        <v>1049</v>
      </c>
      <c r="C145" s="339" t="s">
        <v>57</v>
      </c>
      <c r="D145" s="279">
        <v>38.1</v>
      </c>
      <c r="E145" s="341" t="s">
        <v>1001</v>
      </c>
      <c r="F145" s="342">
        <v>73300</v>
      </c>
      <c r="G145" s="341" t="s">
        <v>1001</v>
      </c>
      <c r="H145" s="343">
        <f t="shared" si="4"/>
        <v>2.7927300000000002</v>
      </c>
      <c r="I145" s="279">
        <v>1.1430000000000001E-7</v>
      </c>
      <c r="J145" s="279">
        <v>1.1430000000000001E-7</v>
      </c>
      <c r="K145" s="279">
        <v>3.8099999999999998E-7</v>
      </c>
      <c r="L145" s="279">
        <v>3.8099999999999998E-7</v>
      </c>
      <c r="M145" s="279">
        <v>2.2860000000000001E-8</v>
      </c>
      <c r="N145" s="279">
        <v>2.2860000000000001E-8</v>
      </c>
      <c r="O145" s="279">
        <v>2.2860000000000001E-8</v>
      </c>
      <c r="P145" s="344">
        <v>2.2860000000000001E-8</v>
      </c>
      <c r="Q145" s="340"/>
      <c r="R145" s="302" t="s">
        <v>1102</v>
      </c>
    </row>
    <row r="146" spans="1:18" ht="47.25" x14ac:dyDescent="0.25">
      <c r="A146" s="302" t="s">
        <v>1050</v>
      </c>
      <c r="B146" s="345" t="s">
        <v>1051</v>
      </c>
      <c r="C146" s="339" t="s">
        <v>57</v>
      </c>
      <c r="D146" s="279">
        <v>40.200000000000003</v>
      </c>
      <c r="E146" s="341" t="s">
        <v>1001</v>
      </c>
      <c r="F146" s="342">
        <v>73300</v>
      </c>
      <c r="G146" s="341" t="s">
        <v>1001</v>
      </c>
      <c r="H146" s="343">
        <f t="shared" si="4"/>
        <v>2.9466600000000001</v>
      </c>
      <c r="I146" s="279">
        <v>1.206E-3</v>
      </c>
      <c r="J146" s="279">
        <v>1.206E-3</v>
      </c>
      <c r="K146" s="279">
        <v>1.206E-2</v>
      </c>
      <c r="L146" s="279">
        <v>1.206E-2</v>
      </c>
      <c r="M146" s="279">
        <v>1.6080000000000001E-4</v>
      </c>
      <c r="N146" s="279">
        <v>1.6080000000000001E-4</v>
      </c>
      <c r="O146" s="279">
        <v>1.6080000000000001E-4</v>
      </c>
      <c r="P146" s="344">
        <v>1.6080000000000001E-4</v>
      </c>
      <c r="Q146" s="340"/>
      <c r="R146" s="351" t="s">
        <v>1085</v>
      </c>
    </row>
    <row r="147" spans="1:18" ht="47.25" x14ac:dyDescent="0.25">
      <c r="A147" s="302" t="s">
        <v>1052</v>
      </c>
      <c r="B147" s="345" t="s">
        <v>1053</v>
      </c>
      <c r="C147" s="339" t="s">
        <v>57</v>
      </c>
      <c r="D147" s="279">
        <v>27.5</v>
      </c>
      <c r="E147" s="341" t="s">
        <v>991</v>
      </c>
      <c r="F147" s="342">
        <v>76900</v>
      </c>
      <c r="G147" s="341" t="s">
        <v>1001</v>
      </c>
      <c r="H147" s="343">
        <f t="shared" si="4"/>
        <v>2.1147499999999999</v>
      </c>
      <c r="I147" s="279">
        <v>8.25E-5</v>
      </c>
      <c r="J147" s="279">
        <v>8.25E-5</v>
      </c>
      <c r="K147" s="279">
        <v>2.7499999999999996E-4</v>
      </c>
      <c r="L147" s="279">
        <v>2.7499999999999996E-4</v>
      </c>
      <c r="M147" s="279">
        <v>1.6499999999999998E-5</v>
      </c>
      <c r="N147" s="279">
        <v>1.6499999999999998E-5</v>
      </c>
      <c r="O147" s="279">
        <v>1.6499999999999998E-5</v>
      </c>
      <c r="P147" s="344">
        <v>1.6499999999999998E-5</v>
      </c>
      <c r="Q147" s="340"/>
      <c r="R147" s="351" t="s">
        <v>1085</v>
      </c>
    </row>
    <row r="148" spans="1:18" ht="31.5" x14ac:dyDescent="0.25">
      <c r="A148" s="302" t="s">
        <v>1054</v>
      </c>
      <c r="B148" s="345" t="s">
        <v>1055</v>
      </c>
      <c r="C148" s="339" t="s">
        <v>57</v>
      </c>
      <c r="D148" s="279">
        <v>33.840000000000003</v>
      </c>
      <c r="E148" s="341" t="s">
        <v>991</v>
      </c>
      <c r="F148" s="342">
        <v>94600</v>
      </c>
      <c r="G148" s="341" t="s">
        <v>1036</v>
      </c>
      <c r="H148" s="343">
        <f t="shared" si="4"/>
        <v>3.2012640000000006</v>
      </c>
      <c r="I148" s="279">
        <v>2.58E-5</v>
      </c>
      <c r="J148" s="279">
        <v>2.5799999999999998E-4</v>
      </c>
      <c r="K148" s="279">
        <v>2.5799999999999998E-4</v>
      </c>
      <c r="L148" s="279">
        <v>7.7399999999999995E-3</v>
      </c>
      <c r="M148" s="279">
        <v>3.8699999999999999E-5</v>
      </c>
      <c r="N148" s="279">
        <v>3.8699999999999999E-5</v>
      </c>
      <c r="O148" s="279">
        <v>3.8699999999999999E-5</v>
      </c>
      <c r="P148" s="344">
        <v>3.8699999999999999E-5</v>
      </c>
      <c r="Q148" s="340"/>
      <c r="R148" s="351" t="s">
        <v>1085</v>
      </c>
    </row>
    <row r="149" spans="1:18" ht="141.75" x14ac:dyDescent="0.25">
      <c r="A149" s="302" t="s">
        <v>1056</v>
      </c>
      <c r="B149" s="345" t="s">
        <v>1057</v>
      </c>
      <c r="C149" s="339" t="s">
        <v>957</v>
      </c>
      <c r="D149" s="279">
        <f>34.839*850/1000</f>
        <v>29.613149999999997</v>
      </c>
      <c r="E149" s="341" t="s">
        <v>1058</v>
      </c>
      <c r="F149" s="342">
        <v>73300</v>
      </c>
      <c r="G149" s="341" t="s">
        <v>1001</v>
      </c>
      <c r="H149" s="343">
        <f t="shared" si="4"/>
        <v>2.170643895</v>
      </c>
      <c r="I149" s="279">
        <v>1.0151999999999999E-7</v>
      </c>
      <c r="J149" s="279">
        <v>1.0151999999999999E-7</v>
      </c>
      <c r="K149" s="279">
        <v>3.3840000000000001E-7</v>
      </c>
      <c r="L149" s="279">
        <v>3.3840000000000001E-7</v>
      </c>
      <c r="M149" s="279">
        <v>2.0304000000000001E-8</v>
      </c>
      <c r="N149" s="279">
        <v>2.0304000000000001E-8</v>
      </c>
      <c r="O149" s="279">
        <v>2.0304000000000001E-8</v>
      </c>
      <c r="P149" s="344">
        <v>2.0304000000000001E-8</v>
      </c>
      <c r="Q149" s="340">
        <v>2.2411459459459466E-6</v>
      </c>
      <c r="R149" s="302" t="s">
        <v>1103</v>
      </c>
    </row>
    <row r="150" spans="1:18" ht="94.5" x14ac:dyDescent="0.25">
      <c r="A150" s="302" t="s">
        <v>1059</v>
      </c>
      <c r="B150" s="345" t="s">
        <v>1060</v>
      </c>
      <c r="C150" s="339" t="s">
        <v>957</v>
      </c>
      <c r="D150" s="279">
        <f>43.8*(775+840)/2/1000</f>
        <v>35.368499999999997</v>
      </c>
      <c r="E150" s="341" t="s">
        <v>1061</v>
      </c>
      <c r="F150" s="342">
        <v>71500</v>
      </c>
      <c r="G150" s="341" t="s">
        <v>1036</v>
      </c>
      <c r="H150" s="343">
        <f t="shared" si="4"/>
        <v>2.5288477500000002</v>
      </c>
      <c r="I150" s="279">
        <v>1.0451700000000001E-7</v>
      </c>
      <c r="J150" s="279">
        <v>1.0451700000000001E-7</v>
      </c>
      <c r="K150" s="279">
        <v>3.4839000000000001E-7</v>
      </c>
      <c r="L150" s="279">
        <v>3.4839000000000001E-7</v>
      </c>
      <c r="M150" s="279">
        <v>2.09034E-8</v>
      </c>
      <c r="N150" s="279">
        <v>2.09034E-8</v>
      </c>
      <c r="O150" s="279">
        <v>2.09034E-8</v>
      </c>
      <c r="P150" s="344">
        <v>2.09034E-8</v>
      </c>
      <c r="Q150" s="340">
        <v>2.2411459459459466E-6</v>
      </c>
      <c r="R150" s="302" t="s">
        <v>1104</v>
      </c>
    </row>
    <row r="151" spans="1:18" ht="63" x14ac:dyDescent="0.25">
      <c r="A151" s="302" t="s">
        <v>1062</v>
      </c>
      <c r="B151" s="345" t="s">
        <v>1063</v>
      </c>
      <c r="C151" s="339" t="s">
        <v>57</v>
      </c>
      <c r="D151" s="279">
        <v>10</v>
      </c>
      <c r="E151" s="341" t="s">
        <v>1036</v>
      </c>
      <c r="F151" s="342">
        <v>91700</v>
      </c>
      <c r="G151" s="341" t="s">
        <v>1036</v>
      </c>
      <c r="H151" s="343">
        <f t="shared" si="4"/>
        <v>0.91700000000000004</v>
      </c>
      <c r="I151" s="279">
        <v>2.9999999999999997E-4</v>
      </c>
      <c r="J151" s="279">
        <v>2.9999999999999997E-4</v>
      </c>
      <c r="K151" s="279">
        <v>3.0000000000000001E-3</v>
      </c>
      <c r="L151" s="279">
        <v>3.0000000000000001E-3</v>
      </c>
      <c r="M151" s="279">
        <v>3.9999999999999996E-5</v>
      </c>
      <c r="N151" s="279">
        <v>3.9999999999999996E-5</v>
      </c>
      <c r="O151" s="279">
        <v>3.9999999999999996E-5</v>
      </c>
      <c r="P151" s="344">
        <v>3.9999999999999996E-5</v>
      </c>
      <c r="Q151" s="340"/>
      <c r="R151" s="302" t="s">
        <v>1105</v>
      </c>
    </row>
    <row r="152" spans="1:18" ht="110.25" x14ac:dyDescent="0.25">
      <c r="A152" s="302" t="s">
        <v>1064</v>
      </c>
      <c r="B152" s="345" t="s">
        <v>1065</v>
      </c>
      <c r="C152" s="339" t="s">
        <v>57</v>
      </c>
      <c r="D152" s="346">
        <v>8.5</v>
      </c>
      <c r="E152" s="341" t="s">
        <v>1001</v>
      </c>
      <c r="F152" s="342">
        <v>106600</v>
      </c>
      <c r="G152" s="341" t="s">
        <v>1001</v>
      </c>
      <c r="H152" s="343">
        <f t="shared" si="4"/>
        <v>0.90610000000000002</v>
      </c>
      <c r="I152" s="279">
        <v>8.8999999999999995E-6</v>
      </c>
      <c r="J152" s="279">
        <v>8.8999999999999995E-5</v>
      </c>
      <c r="K152" s="279">
        <v>8.8999999999999995E-5</v>
      </c>
      <c r="L152" s="279">
        <v>2.6700000000000001E-3</v>
      </c>
      <c r="M152" s="279">
        <v>1.3350000000000001E-5</v>
      </c>
      <c r="N152" s="279">
        <v>1.3350000000000001E-5</v>
      </c>
      <c r="O152" s="279">
        <v>1.3350000000000001E-5</v>
      </c>
      <c r="P152" s="344">
        <v>1.3350000000000001E-5</v>
      </c>
      <c r="Q152" s="340"/>
      <c r="R152" s="302" t="s">
        <v>1106</v>
      </c>
    </row>
    <row r="153" spans="1:18" ht="31.5" x14ac:dyDescent="0.25">
      <c r="A153" s="302" t="s">
        <v>93</v>
      </c>
      <c r="B153" s="345" t="s">
        <v>1066</v>
      </c>
      <c r="C153" s="339" t="s">
        <v>57</v>
      </c>
      <c r="D153" s="279">
        <v>27</v>
      </c>
      <c r="E153" s="341" t="s">
        <v>991</v>
      </c>
      <c r="F153" s="342">
        <v>70800</v>
      </c>
      <c r="G153" s="341" t="s">
        <v>1036</v>
      </c>
      <c r="H153" s="343">
        <f t="shared" si="4"/>
        <v>1.9116</v>
      </c>
      <c r="I153" s="279">
        <v>8.099999999999999E-5</v>
      </c>
      <c r="J153" s="279">
        <v>8.099999999999999E-5</v>
      </c>
      <c r="K153" s="279">
        <v>2.7E-4</v>
      </c>
      <c r="L153" s="279">
        <v>2.7E-4</v>
      </c>
      <c r="M153" s="279">
        <v>1.6199999999999997E-5</v>
      </c>
      <c r="N153" s="279">
        <v>1.6199999999999997E-5</v>
      </c>
      <c r="O153" s="279">
        <v>1.6199999999999997E-5</v>
      </c>
      <c r="P153" s="344">
        <v>1.6199999999999997E-5</v>
      </c>
      <c r="Q153" s="340"/>
      <c r="R153" s="302" t="s">
        <v>1107</v>
      </c>
    </row>
    <row r="154" spans="1:18" ht="94.5" x14ac:dyDescent="0.25">
      <c r="A154" s="302" t="s">
        <v>964</v>
      </c>
      <c r="B154" s="349" t="s">
        <v>1067</v>
      </c>
      <c r="C154" s="339" t="s">
        <v>57</v>
      </c>
      <c r="D154" s="279">
        <v>27</v>
      </c>
      <c r="E154" s="341" t="s">
        <v>991</v>
      </c>
      <c r="F154" s="342">
        <v>70800</v>
      </c>
      <c r="G154" s="341" t="s">
        <v>1036</v>
      </c>
      <c r="H154" s="343">
        <f t="shared" si="4"/>
        <v>1.9116</v>
      </c>
      <c r="I154" s="279">
        <v>8.099999999999999E-5</v>
      </c>
      <c r="J154" s="279">
        <v>8.099999999999999E-5</v>
      </c>
      <c r="K154" s="279">
        <v>2.7E-4</v>
      </c>
      <c r="L154" s="279">
        <v>2.7E-4</v>
      </c>
      <c r="M154" s="279">
        <v>1.6199999999999997E-5</v>
      </c>
      <c r="N154" s="279">
        <v>1.6199999999999997E-5</v>
      </c>
      <c r="O154" s="279">
        <v>1.6199999999999997E-5</v>
      </c>
      <c r="P154" s="344">
        <v>1.6199999999999997E-5</v>
      </c>
      <c r="Q154" s="340"/>
      <c r="R154" s="302" t="s">
        <v>1108</v>
      </c>
    </row>
    <row r="155" spans="1:18" ht="31.5" x14ac:dyDescent="0.25">
      <c r="A155" s="302" t="s">
        <v>1068</v>
      </c>
      <c r="B155" s="345" t="s">
        <v>1069</v>
      </c>
      <c r="C155" s="339" t="s">
        <v>57</v>
      </c>
      <c r="D155" s="279">
        <v>29.5</v>
      </c>
      <c r="E155" s="341" t="s">
        <v>991</v>
      </c>
      <c r="F155" s="342">
        <v>112000</v>
      </c>
      <c r="G155" s="341" t="s">
        <v>1036</v>
      </c>
      <c r="H155" s="343">
        <f t="shared" si="4"/>
        <v>3.3039999999999998</v>
      </c>
      <c r="I155" s="279">
        <v>5.8999999999999999E-3</v>
      </c>
      <c r="J155" s="279">
        <v>5.8999999999999999E-3</v>
      </c>
      <c r="K155" s="279">
        <v>5.8999999999999999E-3</v>
      </c>
      <c r="L155" s="279">
        <v>5.8999999999999999E-3</v>
      </c>
      <c r="M155" s="279">
        <v>1.18E-4</v>
      </c>
      <c r="N155" s="279">
        <v>1.18E-4</v>
      </c>
      <c r="O155" s="279">
        <v>2.9499999999999999E-5</v>
      </c>
      <c r="P155" s="344">
        <v>2.9499999999999999E-5</v>
      </c>
      <c r="Q155" s="340"/>
      <c r="R155" s="302" t="s">
        <v>1109</v>
      </c>
    </row>
    <row r="156" spans="1:18" ht="31.5" x14ac:dyDescent="0.25">
      <c r="A156" s="302" t="s">
        <v>1070</v>
      </c>
      <c r="B156" s="345" t="s">
        <v>1071</v>
      </c>
      <c r="C156" s="339" t="s">
        <v>57</v>
      </c>
      <c r="D156" s="279">
        <v>50.4</v>
      </c>
      <c r="E156" s="341" t="s">
        <v>991</v>
      </c>
      <c r="F156" s="342">
        <v>54600</v>
      </c>
      <c r="G156" s="341" t="s">
        <v>1036</v>
      </c>
      <c r="H156" s="343">
        <f t="shared" si="4"/>
        <v>2.7518400000000001</v>
      </c>
      <c r="I156" s="279">
        <v>5.0399999999999999E-5</v>
      </c>
      <c r="J156" s="279">
        <v>5.0399999999999999E-5</v>
      </c>
      <c r="K156" s="279">
        <v>2.52E-4</v>
      </c>
      <c r="L156" s="279">
        <v>2.52E-4</v>
      </c>
      <c r="M156" s="279">
        <v>5.04E-6</v>
      </c>
      <c r="N156" s="279">
        <v>5.04E-6</v>
      </c>
      <c r="O156" s="279">
        <v>5.04E-6</v>
      </c>
      <c r="P156" s="344">
        <v>5.04E-6</v>
      </c>
      <c r="Q156" s="340"/>
      <c r="R156" s="302" t="s">
        <v>1110</v>
      </c>
    </row>
    <row r="157" spans="1:18" ht="47.25" x14ac:dyDescent="0.25">
      <c r="A157" s="302" t="s">
        <v>1072</v>
      </c>
      <c r="B157" s="345" t="s">
        <v>1073</v>
      </c>
      <c r="C157" s="302" t="s">
        <v>57</v>
      </c>
      <c r="D157" s="279">
        <v>14.7</v>
      </c>
      <c r="E157" s="341" t="s">
        <v>991</v>
      </c>
      <c r="F157" s="342">
        <v>112000</v>
      </c>
      <c r="G157" s="341" t="s">
        <v>1036</v>
      </c>
      <c r="H157" s="343">
        <f t="shared" si="4"/>
        <v>1.6464000000000001</v>
      </c>
      <c r="I157" s="279">
        <v>4.6799999999999999E-4</v>
      </c>
      <c r="J157" s="279">
        <v>4.6799999999999999E-4</v>
      </c>
      <c r="K157" s="279">
        <v>4.6800000000000001E-3</v>
      </c>
      <c r="L157" s="279">
        <v>4.6800000000000001E-3</v>
      </c>
      <c r="M157" s="279">
        <v>6.2399999999999999E-5</v>
      </c>
      <c r="N157" s="279">
        <v>6.2399999999999999E-5</v>
      </c>
      <c r="O157" s="279">
        <v>6.2399999999999999E-5</v>
      </c>
      <c r="P157" s="344">
        <v>6.2399999999999999E-5</v>
      </c>
      <c r="Q157" s="340"/>
      <c r="R157" s="302" t="s">
        <v>1111</v>
      </c>
    </row>
    <row r="158" spans="1:18" ht="31.5" x14ac:dyDescent="0.25">
      <c r="A158" s="302" t="s">
        <v>1074</v>
      </c>
      <c r="B158" s="345" t="s">
        <v>1075</v>
      </c>
      <c r="C158" s="302" t="s">
        <v>57</v>
      </c>
      <c r="D158" s="279">
        <v>11.6</v>
      </c>
      <c r="E158" s="341" t="s">
        <v>991</v>
      </c>
      <c r="F158" s="342">
        <v>100000</v>
      </c>
      <c r="G158" s="341" t="s">
        <v>1036</v>
      </c>
      <c r="H158" s="343">
        <f t="shared" si="4"/>
        <v>1.1599999999999999</v>
      </c>
      <c r="I158" s="279">
        <v>3.48E-4</v>
      </c>
      <c r="J158" s="279">
        <v>2.32E-4</v>
      </c>
      <c r="K158" s="279">
        <v>3.48E-3</v>
      </c>
      <c r="L158" s="279">
        <v>3.48E-3</v>
      </c>
      <c r="M158" s="279">
        <v>4.6399999999999996E-5</v>
      </c>
      <c r="N158" s="279">
        <v>4.6399999999999996E-5</v>
      </c>
      <c r="O158" s="279">
        <v>4.6399999999999996E-5</v>
      </c>
      <c r="P158" s="344">
        <v>4.6399999999999996E-5</v>
      </c>
      <c r="Q158" s="340"/>
      <c r="R158" s="351" t="s">
        <v>1085</v>
      </c>
    </row>
    <row r="159" spans="1:18" ht="31.5" x14ac:dyDescent="0.25">
      <c r="A159" s="302" t="s">
        <v>1076</v>
      </c>
      <c r="B159" s="345" t="s">
        <v>1077</v>
      </c>
      <c r="C159" s="302" t="s">
        <v>57</v>
      </c>
      <c r="D159" s="279">
        <v>27.4</v>
      </c>
      <c r="E159" s="341" t="s">
        <v>991</v>
      </c>
      <c r="F159" s="342">
        <v>79600</v>
      </c>
      <c r="G159" s="341" t="s">
        <v>1036</v>
      </c>
      <c r="H159" s="343">
        <f t="shared" si="4"/>
        <v>2.1810399999999999</v>
      </c>
      <c r="I159" s="279">
        <v>8.2199999999999979E-5</v>
      </c>
      <c r="J159" s="279">
        <v>8.2199999999999979E-5</v>
      </c>
      <c r="K159" s="279">
        <v>2.7399999999999999E-4</v>
      </c>
      <c r="L159" s="279">
        <v>2.7399999999999999E-4</v>
      </c>
      <c r="M159" s="279">
        <v>1.6439999999999998E-5</v>
      </c>
      <c r="N159" s="279">
        <v>1.6439999999999998E-5</v>
      </c>
      <c r="O159" s="279">
        <v>1.6439999999999998E-5</v>
      </c>
      <c r="P159" s="344">
        <v>1.6439999999999998E-5</v>
      </c>
      <c r="Q159" s="340"/>
      <c r="R159" s="302" t="s">
        <v>1112</v>
      </c>
    </row>
    <row r="160" spans="1:18" ht="47.25" x14ac:dyDescent="0.25">
      <c r="A160" s="302" t="s">
        <v>1078</v>
      </c>
      <c r="B160" s="345" t="s">
        <v>1079</v>
      </c>
      <c r="C160" s="302" t="s">
        <v>57</v>
      </c>
      <c r="D160" s="279">
        <v>11.6</v>
      </c>
      <c r="E160" s="341" t="s">
        <v>1036</v>
      </c>
      <c r="F160" s="342">
        <v>100000</v>
      </c>
      <c r="G160" s="341" t="s">
        <v>1036</v>
      </c>
      <c r="H160" s="343">
        <f t="shared" si="4"/>
        <v>1.1599999999999999</v>
      </c>
      <c r="I160" s="279">
        <v>3.48E-4</v>
      </c>
      <c r="J160" s="279">
        <v>3.48E-4</v>
      </c>
      <c r="K160" s="279">
        <v>3.48E-3</v>
      </c>
      <c r="L160" s="279">
        <v>3.48E-3</v>
      </c>
      <c r="M160" s="279">
        <v>4.6399999999999996E-5</v>
      </c>
      <c r="N160" s="279">
        <v>4.6399999999999996E-5</v>
      </c>
      <c r="O160" s="279">
        <v>4.6399999999999996E-5</v>
      </c>
      <c r="P160" s="344">
        <v>4.6399999999999996E-5</v>
      </c>
      <c r="Q160" s="340"/>
      <c r="R160" s="302" t="s">
        <v>1113</v>
      </c>
    </row>
    <row r="161" spans="1:18" ht="78.75" x14ac:dyDescent="0.25">
      <c r="A161" s="302" t="s">
        <v>1080</v>
      </c>
      <c r="B161" s="345" t="s">
        <v>1081</v>
      </c>
      <c r="C161" s="302" t="s">
        <v>57</v>
      </c>
      <c r="D161" s="279">
        <v>10.8</v>
      </c>
      <c r="E161" s="341" t="s">
        <v>991</v>
      </c>
      <c r="F161" s="342">
        <v>106000</v>
      </c>
      <c r="G161" s="341" t="s">
        <v>1036</v>
      </c>
      <c r="H161" s="343">
        <f t="shared" si="4"/>
        <v>1.1448</v>
      </c>
      <c r="I161" s="279">
        <v>9.7599999999999997E-6</v>
      </c>
      <c r="J161" s="279">
        <v>1.9519999999999999E-5</v>
      </c>
      <c r="K161" s="279">
        <v>9.7599999999999987E-5</v>
      </c>
      <c r="L161" s="279">
        <v>2.928E-3</v>
      </c>
      <c r="M161" s="279">
        <v>1.464E-5</v>
      </c>
      <c r="N161" s="279">
        <v>1.464E-5</v>
      </c>
      <c r="O161" s="279">
        <v>1.3663999999999998E-5</v>
      </c>
      <c r="P161" s="344">
        <v>1.3663999999999998E-5</v>
      </c>
      <c r="Q161" s="340"/>
      <c r="R161" s="302" t="s">
        <v>1114</v>
      </c>
    </row>
    <row r="165" spans="1:18" ht="15.75" x14ac:dyDescent="0.25">
      <c r="A165" s="352" t="s">
        <v>1115</v>
      </c>
      <c r="B165" s="334" t="s">
        <v>1116</v>
      </c>
      <c r="C165" s="352" t="s">
        <v>1117</v>
      </c>
      <c r="D165" s="352" t="s">
        <v>1118</v>
      </c>
      <c r="E165" s="352" t="s">
        <v>1119</v>
      </c>
      <c r="F165" s="352" t="s">
        <v>415</v>
      </c>
    </row>
    <row r="166" spans="1:18" ht="15.75" x14ac:dyDescent="0.25">
      <c r="A166" s="353" t="s">
        <v>1120</v>
      </c>
      <c r="B166" s="354">
        <v>0.51453247183284423</v>
      </c>
      <c r="C166" s="355" t="str">
        <f t="shared" ref="C166:C173" si="5">"kg CO2e / "&amp;E166</f>
        <v>kg CO2e / t clínquer</v>
      </c>
      <c r="D166" s="355" t="s">
        <v>1121</v>
      </c>
      <c r="E166" s="355" t="s">
        <v>1122</v>
      </c>
      <c r="F166" s="356" t="s">
        <v>1123</v>
      </c>
    </row>
    <row r="167" spans="1:18" ht="15.75" x14ac:dyDescent="0.25">
      <c r="A167" s="353" t="s">
        <v>1124</v>
      </c>
      <c r="B167" s="354">
        <v>0.68296562113745141</v>
      </c>
      <c r="C167" s="355" t="str">
        <f t="shared" si="5"/>
        <v>kg CO2e / t cal</v>
      </c>
      <c r="D167" s="355" t="s">
        <v>1125</v>
      </c>
      <c r="E167" s="355" t="s">
        <v>1126</v>
      </c>
      <c r="F167" s="356" t="s">
        <v>1123</v>
      </c>
    </row>
    <row r="168" spans="1:18" ht="15.75" x14ac:dyDescent="0.25">
      <c r="A168" s="353" t="s">
        <v>1127</v>
      </c>
      <c r="B168" s="354">
        <v>8.8304228737939222E-2</v>
      </c>
      <c r="C168" s="355" t="str">
        <f t="shared" si="5"/>
        <v>kg CO2e / t vidro</v>
      </c>
      <c r="D168" s="355" t="s">
        <v>644</v>
      </c>
      <c r="E168" s="355" t="s">
        <v>1128</v>
      </c>
      <c r="F168" s="356" t="s">
        <v>1123</v>
      </c>
    </row>
    <row r="169" spans="1:18" ht="15.75" x14ac:dyDescent="0.25">
      <c r="A169" s="353" t="s">
        <v>1129</v>
      </c>
      <c r="B169" s="354">
        <v>26.577798378660646</v>
      </c>
      <c r="C169" s="355" t="str">
        <f t="shared" si="5"/>
        <v>kg CO2e / t carbonatos consumidos</v>
      </c>
      <c r="D169" s="355" t="s">
        <v>1130</v>
      </c>
      <c r="E169" s="355" t="s">
        <v>1131</v>
      </c>
      <c r="F169" s="356" t="s">
        <v>1123</v>
      </c>
    </row>
    <row r="170" spans="1:18" ht="15.75" x14ac:dyDescent="0.25">
      <c r="A170" s="353" t="s">
        <v>1132</v>
      </c>
      <c r="B170" s="354">
        <v>96.255443240522112</v>
      </c>
      <c r="C170" s="355" t="str">
        <f t="shared" si="5"/>
        <v>kg CO2e / t ácido nítrico</v>
      </c>
      <c r="D170" s="355" t="s">
        <v>1133</v>
      </c>
      <c r="E170" s="355" t="s">
        <v>1134</v>
      </c>
      <c r="F170" s="356" t="s">
        <v>1123</v>
      </c>
    </row>
    <row r="171" spans="1:18" ht="15.75" x14ac:dyDescent="0.25">
      <c r="A171" s="353" t="s">
        <v>1135</v>
      </c>
      <c r="B171" s="354">
        <v>1.73</v>
      </c>
      <c r="C171" s="355" t="str">
        <f t="shared" si="5"/>
        <v>kg CO2e / t etileno</v>
      </c>
      <c r="D171" s="355" t="s">
        <v>1136</v>
      </c>
      <c r="E171" s="355" t="s">
        <v>1137</v>
      </c>
      <c r="F171" s="356" t="s">
        <v>1138</v>
      </c>
    </row>
    <row r="172" spans="1:18" ht="15.75" x14ac:dyDescent="0.25">
      <c r="A172" s="353" t="s">
        <v>1139</v>
      </c>
      <c r="B172" s="354">
        <v>3.4417139239534635E-2</v>
      </c>
      <c r="C172" s="355" t="str">
        <f t="shared" si="5"/>
        <v>kg CO2e / t aço</v>
      </c>
      <c r="D172" s="355" t="s">
        <v>1140</v>
      </c>
      <c r="E172" s="355" t="s">
        <v>1141</v>
      </c>
      <c r="F172" s="356" t="s">
        <v>1123</v>
      </c>
    </row>
    <row r="173" spans="1:18" ht="15.75" x14ac:dyDescent="0.25">
      <c r="A173" s="353" t="s">
        <v>1142</v>
      </c>
      <c r="B173" s="354">
        <v>0.52</v>
      </c>
      <c r="C173" s="355" t="str">
        <f t="shared" si="5"/>
        <v>kg CO2e / t chumbo</v>
      </c>
      <c r="D173" s="355" t="s">
        <v>1143</v>
      </c>
      <c r="E173" s="355" t="s">
        <v>1144</v>
      </c>
      <c r="F173" s="356" t="s">
        <v>1145</v>
      </c>
    </row>
    <row r="178" spans="1:5" ht="15.75" x14ac:dyDescent="0.25">
      <c r="A178" s="357" t="s">
        <v>1146</v>
      </c>
      <c r="B178" s="357" t="s">
        <v>1147</v>
      </c>
      <c r="C178" s="357" t="s">
        <v>1117</v>
      </c>
      <c r="D178" s="357" t="s">
        <v>1148</v>
      </c>
      <c r="E178" s="357" t="s">
        <v>415</v>
      </c>
    </row>
    <row r="179" spans="1:5" ht="15.75" x14ac:dyDescent="0.25">
      <c r="A179" s="252" t="s">
        <v>1149</v>
      </c>
      <c r="B179" s="252"/>
      <c r="C179" s="254" t="str">
        <f>"kg CO2e / "&amp;D179</f>
        <v>kg CO2e / t resíduo sólido enviado para deposição</v>
      </c>
      <c r="D179" s="254" t="s">
        <v>1150</v>
      </c>
      <c r="E179" s="252"/>
    </row>
    <row r="180" spans="1:5" ht="15.75" x14ac:dyDescent="0.25">
      <c r="A180" s="252" t="s">
        <v>820</v>
      </c>
      <c r="B180" s="253">
        <f>(4*'[1]Fatores de Emissão'!$E$248+0.24*'[1]Fatores de Emissão'!$E$249)/1000</f>
        <v>0.17560000000000001</v>
      </c>
      <c r="C180" s="254" t="str">
        <f>"kg CO2e / "&amp;D180</f>
        <v>kg CO2e / t resíduo sólido enviado para compostagem</v>
      </c>
      <c r="D180" s="254" t="s">
        <v>821</v>
      </c>
      <c r="E180" s="254" t="s">
        <v>822</v>
      </c>
    </row>
    <row r="181" spans="1:5" ht="15.75" x14ac:dyDescent="0.25">
      <c r="A181" s="252" t="s">
        <v>823</v>
      </c>
      <c r="B181" s="253">
        <f>(0.8*'[1]Fatores de Emissão'!$E$248+0*'[1]Fatores de Emissão'!$E$249)/1000</f>
        <v>2.2400000000000003E-2</v>
      </c>
      <c r="C181" s="254" t="str">
        <f>"kg CO2e / "&amp;D181</f>
        <v>kg CO2e / t resíduo sólido enviado para digestão anaeróbia</v>
      </c>
      <c r="D181" s="254" t="s">
        <v>824</v>
      </c>
      <c r="E181" s="254" t="s">
        <v>822</v>
      </c>
    </row>
    <row r="182" spans="1:5" ht="15.75" x14ac:dyDescent="0.25">
      <c r="A182" s="252" t="s">
        <v>1151</v>
      </c>
      <c r="B182" s="252"/>
      <c r="C182" s="254" t="str">
        <f>"kg CO2e / "&amp;D182</f>
        <v>kg CO2e / t resíduo enviado para incineração</v>
      </c>
      <c r="D182" s="254" t="s">
        <v>1152</v>
      </c>
      <c r="E182" s="252"/>
    </row>
    <row r="183" spans="1:5" ht="18" x14ac:dyDescent="0.25">
      <c r="A183" s="252" t="s">
        <v>1153</v>
      </c>
      <c r="B183" s="252"/>
      <c r="C183" s="254" t="str">
        <f>"kg CO2e / "&amp;D183</f>
        <v>kg CO2e / m3 de águas residuais enviadas para tratamento ou descarregadas</v>
      </c>
      <c r="D183" s="254" t="s">
        <v>1154</v>
      </c>
      <c r="E183" s="252"/>
    </row>
    <row r="184" spans="1:5" ht="15.75" x14ac:dyDescent="0.25">
      <c r="A184" s="252" t="s">
        <v>1155</v>
      </c>
      <c r="B184" s="252"/>
      <c r="C184" s="252" t="s">
        <v>1156</v>
      </c>
      <c r="D184" s="254"/>
      <c r="E184" s="252"/>
    </row>
    <row r="191" spans="1:5" ht="15.75" x14ac:dyDescent="0.25">
      <c r="A191" s="255" t="s">
        <v>825</v>
      </c>
      <c r="B191" s="256" t="s">
        <v>826</v>
      </c>
      <c r="C191" s="255" t="s">
        <v>827</v>
      </c>
      <c r="D191" s="255" t="s">
        <v>489</v>
      </c>
      <c r="E191" s="255" t="s">
        <v>415</v>
      </c>
    </row>
    <row r="192" spans="1:5" ht="15.75" x14ac:dyDescent="0.25">
      <c r="A192" s="257" t="s">
        <v>828</v>
      </c>
      <c r="B192" s="258" t="s">
        <v>829</v>
      </c>
      <c r="C192" s="259">
        <v>0.47899999999999998</v>
      </c>
      <c r="D192" s="257" t="s">
        <v>830</v>
      </c>
      <c r="E192" s="257" t="s">
        <v>831</v>
      </c>
    </row>
    <row r="193" spans="1:9" ht="15.75" x14ac:dyDescent="0.25">
      <c r="A193" s="257" t="s">
        <v>832</v>
      </c>
      <c r="B193" s="258" t="s">
        <v>833</v>
      </c>
      <c r="C193" s="259">
        <v>0.18099999999999999</v>
      </c>
      <c r="D193" s="257" t="s">
        <v>830</v>
      </c>
      <c r="E193" s="257" t="s">
        <v>831</v>
      </c>
    </row>
    <row r="194" spans="1:9" ht="15.75" x14ac:dyDescent="0.25">
      <c r="A194" s="257" t="s">
        <v>834</v>
      </c>
      <c r="B194" s="258" t="s">
        <v>835</v>
      </c>
      <c r="C194" s="259">
        <v>0.1229</v>
      </c>
      <c r="D194" s="257" t="s">
        <v>830</v>
      </c>
      <c r="E194" s="257" t="s">
        <v>831</v>
      </c>
    </row>
    <row r="195" spans="1:9" ht="15.75" x14ac:dyDescent="0.25">
      <c r="A195" s="257" t="s">
        <v>836</v>
      </c>
      <c r="B195" s="258" t="s">
        <v>837</v>
      </c>
      <c r="C195" s="259">
        <v>0.21710000000000002</v>
      </c>
      <c r="D195" s="257" t="s">
        <v>830</v>
      </c>
      <c r="E195" s="257" t="s">
        <v>831</v>
      </c>
    </row>
    <row r="196" spans="1:9" ht="15.75" x14ac:dyDescent="0.25">
      <c r="A196" s="257" t="s">
        <v>838</v>
      </c>
      <c r="B196" s="258" t="s">
        <v>839</v>
      </c>
      <c r="C196" s="260">
        <v>0.123303125</v>
      </c>
      <c r="D196" s="257" t="s">
        <v>840</v>
      </c>
      <c r="E196" s="257" t="s">
        <v>841</v>
      </c>
    </row>
    <row r="197" spans="1:9" ht="15.75" x14ac:dyDescent="0.25">
      <c r="A197" s="257" t="s">
        <v>842</v>
      </c>
      <c r="B197" s="258" t="s">
        <v>843</v>
      </c>
      <c r="C197" s="260">
        <v>0.123303125</v>
      </c>
      <c r="D197" s="257" t="str">
        <f>D196</f>
        <v>kg/km</v>
      </c>
      <c r="E197" s="257" t="str">
        <f>E196</f>
        <v>Média entre fatores para gasóleo e gasolina, dividido pelo fator de utilização</v>
      </c>
    </row>
    <row r="198" spans="1:9" ht="94.5" x14ac:dyDescent="0.25">
      <c r="A198" s="257" t="s">
        <v>844</v>
      </c>
      <c r="B198" s="258" t="s">
        <v>845</v>
      </c>
      <c r="C198" s="260">
        <v>6.6669300000000001E-2</v>
      </c>
      <c r="D198" s="257" t="str">
        <f>D197</f>
        <v>kg/km</v>
      </c>
      <c r="E198" s="261" t="s">
        <v>846</v>
      </c>
    </row>
    <row r="199" spans="1:9" ht="15.75" x14ac:dyDescent="0.25">
      <c r="A199" s="257" t="s">
        <v>847</v>
      </c>
      <c r="B199" s="258" t="s">
        <v>848</v>
      </c>
      <c r="C199" s="257">
        <v>0</v>
      </c>
      <c r="D199" s="257" t="str">
        <f>D198</f>
        <v>kg/km</v>
      </c>
      <c r="E199" s="257" t="s">
        <v>849</v>
      </c>
    </row>
    <row r="200" spans="1:9" ht="15.75" x14ac:dyDescent="0.25">
      <c r="A200" s="257" t="s">
        <v>850</v>
      </c>
      <c r="B200" s="258" t="s">
        <v>851</v>
      </c>
      <c r="C200" s="262">
        <v>15</v>
      </c>
      <c r="D200" s="257" t="s">
        <v>852</v>
      </c>
      <c r="E200" s="257" t="s">
        <v>853</v>
      </c>
    </row>
    <row r="205" spans="1:9" ht="15.75" thickBot="1" x14ac:dyDescent="0.3"/>
    <row r="206" spans="1:9" ht="19.5" thickBot="1" x14ac:dyDescent="0.3">
      <c r="A206" s="358" t="s">
        <v>1157</v>
      </c>
      <c r="B206" s="359" t="s">
        <v>1158</v>
      </c>
      <c r="C206" s="360" t="s">
        <v>1159</v>
      </c>
      <c r="D206" s="361"/>
      <c r="E206" s="362"/>
      <c r="F206" s="363" t="s">
        <v>1157</v>
      </c>
      <c r="G206" s="363" t="s">
        <v>1158</v>
      </c>
      <c r="H206" s="359" t="s">
        <v>1159</v>
      </c>
      <c r="I206" s="363" t="s">
        <v>1160</v>
      </c>
    </row>
    <row r="207" spans="1:9" ht="18.75" x14ac:dyDescent="0.25">
      <c r="A207" s="339" t="s">
        <v>1161</v>
      </c>
      <c r="B207" s="338" t="s">
        <v>1085</v>
      </c>
      <c r="C207" s="364">
        <v>28</v>
      </c>
      <c r="D207" s="365"/>
      <c r="E207" s="362"/>
      <c r="F207" s="339" t="s">
        <v>1162</v>
      </c>
      <c r="G207" s="428" t="s">
        <v>1163</v>
      </c>
      <c r="H207" s="366">
        <v>6226</v>
      </c>
      <c r="I207" s="428" t="s">
        <v>1164</v>
      </c>
    </row>
    <row r="208" spans="1:9" ht="18.75" x14ac:dyDescent="0.25">
      <c r="A208" s="339" t="s">
        <v>1165</v>
      </c>
      <c r="B208" s="338" t="s">
        <v>1085</v>
      </c>
      <c r="C208" s="364">
        <v>265</v>
      </c>
      <c r="D208" s="365"/>
      <c r="E208" s="362"/>
      <c r="F208" s="339" t="s">
        <v>1166</v>
      </c>
      <c r="G208" s="429"/>
      <c r="H208" s="366">
        <v>10200</v>
      </c>
      <c r="I208" s="429"/>
    </row>
    <row r="209" spans="1:9" ht="18.75" x14ac:dyDescent="0.25">
      <c r="A209" s="339" t="s">
        <v>1167</v>
      </c>
      <c r="B209" s="338" t="s">
        <v>1085</v>
      </c>
      <c r="C209" s="364">
        <v>23500</v>
      </c>
      <c r="D209" s="365"/>
      <c r="E209" s="362"/>
      <c r="F209" s="339" t="s">
        <v>363</v>
      </c>
      <c r="G209" s="429"/>
      <c r="H209" s="366">
        <v>13900</v>
      </c>
      <c r="I209" s="429"/>
    </row>
    <row r="210" spans="1:9" ht="18.75" x14ac:dyDescent="0.25">
      <c r="A210" s="339" t="s">
        <v>1168</v>
      </c>
      <c r="B210" s="338" t="s">
        <v>1085</v>
      </c>
      <c r="C210" s="364">
        <v>16100</v>
      </c>
      <c r="D210" s="365"/>
      <c r="E210" s="362"/>
      <c r="F210" s="339" t="s">
        <v>364</v>
      </c>
      <c r="G210" s="429"/>
      <c r="H210" s="366">
        <v>5820</v>
      </c>
      <c r="I210" s="429"/>
    </row>
    <row r="211" spans="1:9" ht="18.75" x14ac:dyDescent="0.25">
      <c r="A211" s="339" t="s">
        <v>1169</v>
      </c>
      <c r="B211" s="338" t="s">
        <v>1085</v>
      </c>
      <c r="C211" s="364">
        <v>1</v>
      </c>
      <c r="D211" s="365"/>
      <c r="E211" s="362"/>
      <c r="F211" s="339" t="s">
        <v>365</v>
      </c>
      <c r="G211" s="429"/>
      <c r="H211" s="366">
        <v>8590</v>
      </c>
      <c r="I211" s="429"/>
    </row>
    <row r="212" spans="1:9" ht="15.75" x14ac:dyDescent="0.25">
      <c r="A212" s="339" t="s">
        <v>245</v>
      </c>
      <c r="B212" s="367" t="s">
        <v>1170</v>
      </c>
      <c r="C212" s="364">
        <v>12400</v>
      </c>
      <c r="D212" s="365"/>
      <c r="E212" s="362"/>
      <c r="F212" s="339" t="s">
        <v>366</v>
      </c>
      <c r="G212" s="430"/>
      <c r="H212" s="366">
        <v>7670</v>
      </c>
      <c r="I212" s="429"/>
    </row>
    <row r="213" spans="1:9" ht="15.75" x14ac:dyDescent="0.25">
      <c r="A213" s="339" t="s">
        <v>246</v>
      </c>
      <c r="B213" s="368"/>
      <c r="C213" s="364">
        <v>677</v>
      </c>
      <c r="D213" s="365"/>
      <c r="E213" s="362"/>
      <c r="F213" s="339" t="s">
        <v>368</v>
      </c>
      <c r="G213" s="369"/>
      <c r="H213" s="366">
        <v>6290</v>
      </c>
      <c r="I213" s="429"/>
    </row>
    <row r="214" spans="1:9" ht="15.75" x14ac:dyDescent="0.25">
      <c r="A214" s="339" t="s">
        <v>247</v>
      </c>
      <c r="B214" s="368"/>
      <c r="C214" s="364">
        <v>116</v>
      </c>
      <c r="D214" s="365"/>
      <c r="E214" s="362"/>
      <c r="F214" s="339" t="s">
        <v>367</v>
      </c>
      <c r="G214" s="369"/>
      <c r="H214" s="366">
        <v>1750</v>
      </c>
      <c r="I214" s="429"/>
    </row>
    <row r="215" spans="1:9" ht="15.75" x14ac:dyDescent="0.25">
      <c r="A215" s="339" t="s">
        <v>248</v>
      </c>
      <c r="B215" s="368"/>
      <c r="C215" s="364">
        <v>317</v>
      </c>
      <c r="D215" s="365"/>
      <c r="E215" s="362"/>
      <c r="F215" s="339" t="s">
        <v>369</v>
      </c>
      <c r="G215" s="369"/>
      <c r="H215" s="366">
        <v>1470</v>
      </c>
      <c r="I215" s="429"/>
    </row>
    <row r="216" spans="1:9" ht="34.5" x14ac:dyDescent="0.25">
      <c r="A216" s="339" t="s">
        <v>249</v>
      </c>
      <c r="B216" s="368"/>
      <c r="C216" s="364">
        <v>1120</v>
      </c>
      <c r="D216" s="365"/>
      <c r="E216" s="362"/>
      <c r="F216" s="339" t="s">
        <v>1171</v>
      </c>
      <c r="G216" s="369"/>
      <c r="H216" s="366">
        <v>1730</v>
      </c>
      <c r="I216" s="429"/>
    </row>
    <row r="217" spans="1:9" ht="34.5" x14ac:dyDescent="0.25">
      <c r="A217" s="339" t="s">
        <v>250</v>
      </c>
      <c r="B217" s="368"/>
      <c r="C217" s="364">
        <v>1300</v>
      </c>
      <c r="D217" s="365"/>
      <c r="E217" s="362"/>
      <c r="F217" s="339" t="s">
        <v>1172</v>
      </c>
      <c r="G217" s="369"/>
      <c r="H217" s="366">
        <v>2</v>
      </c>
      <c r="I217" s="429"/>
    </row>
    <row r="218" spans="1:9" ht="50.25" x14ac:dyDescent="0.25">
      <c r="A218" s="339" t="s">
        <v>251</v>
      </c>
      <c r="B218" s="368"/>
      <c r="C218" s="364">
        <v>328</v>
      </c>
      <c r="D218" s="365"/>
      <c r="E218" s="362"/>
      <c r="F218" s="339" t="s">
        <v>1173</v>
      </c>
      <c r="G218" s="369"/>
      <c r="H218" s="366">
        <v>160</v>
      </c>
      <c r="I218" s="429"/>
    </row>
    <row r="219" spans="1:9" ht="15.75" x14ac:dyDescent="0.25">
      <c r="A219" s="339" t="s">
        <v>252</v>
      </c>
      <c r="B219" s="368"/>
      <c r="C219" s="364">
        <v>4800</v>
      </c>
      <c r="D219" s="365"/>
      <c r="E219" s="362"/>
      <c r="F219" s="339" t="s">
        <v>380</v>
      </c>
      <c r="G219" s="431" t="s">
        <v>1174</v>
      </c>
      <c r="H219" s="366">
        <v>148</v>
      </c>
      <c r="I219" s="429"/>
    </row>
    <row r="220" spans="1:9" ht="15.75" x14ac:dyDescent="0.25">
      <c r="A220" s="339" t="s">
        <v>268</v>
      </c>
      <c r="B220" s="368"/>
      <c r="C220" s="364">
        <v>16</v>
      </c>
      <c r="D220" s="365"/>
      <c r="E220" s="362"/>
      <c r="F220" s="339" t="s">
        <v>1175</v>
      </c>
      <c r="G220" s="429"/>
      <c r="H220" s="366">
        <v>1760</v>
      </c>
      <c r="I220" s="429"/>
    </row>
    <row r="221" spans="1:9" ht="15.75" x14ac:dyDescent="0.25">
      <c r="A221" s="339" t="s">
        <v>253</v>
      </c>
      <c r="B221" s="368"/>
      <c r="C221" s="364">
        <v>138</v>
      </c>
      <c r="D221" s="365"/>
      <c r="E221" s="362"/>
      <c r="F221" s="339" t="s">
        <v>374</v>
      </c>
      <c r="G221" s="429"/>
      <c r="H221" s="366">
        <v>79</v>
      </c>
      <c r="I221" s="429"/>
    </row>
    <row r="222" spans="1:9" ht="15.75" x14ac:dyDescent="0.25">
      <c r="A222" s="339" t="s">
        <v>269</v>
      </c>
      <c r="B222" s="368"/>
      <c r="C222" s="364">
        <v>4</v>
      </c>
      <c r="D222" s="365"/>
      <c r="E222" s="362"/>
      <c r="F222" s="339" t="s">
        <v>375</v>
      </c>
      <c r="G222" s="429"/>
      <c r="H222" s="366">
        <v>527</v>
      </c>
      <c r="I222" s="429"/>
    </row>
    <row r="223" spans="1:9" ht="15.75" x14ac:dyDescent="0.25">
      <c r="A223" s="339" t="s">
        <v>254</v>
      </c>
      <c r="B223" s="368"/>
      <c r="C223" s="364">
        <v>3350</v>
      </c>
      <c r="D223" s="365"/>
      <c r="E223" s="362"/>
      <c r="F223" s="339" t="s">
        <v>376</v>
      </c>
      <c r="G223" s="429"/>
      <c r="H223" s="366">
        <v>782</v>
      </c>
      <c r="I223" s="429"/>
    </row>
    <row r="224" spans="1:9" ht="15.75" x14ac:dyDescent="0.25">
      <c r="A224" s="339" t="s">
        <v>270</v>
      </c>
      <c r="B224" s="368"/>
      <c r="C224" s="364">
        <v>1210</v>
      </c>
      <c r="D224" s="365"/>
      <c r="E224" s="362"/>
      <c r="F224" s="339" t="s">
        <v>377</v>
      </c>
      <c r="G224" s="429"/>
      <c r="H224" s="366">
        <v>1980</v>
      </c>
      <c r="I224" s="429"/>
    </row>
    <row r="225" spans="1:9" ht="15.75" x14ac:dyDescent="0.25">
      <c r="A225" s="339" t="s">
        <v>271</v>
      </c>
      <c r="B225" s="368"/>
      <c r="C225" s="364">
        <v>1330</v>
      </c>
      <c r="D225" s="365"/>
      <c r="E225" s="362"/>
      <c r="F225" s="339" t="s">
        <v>378</v>
      </c>
      <c r="G225" s="429"/>
      <c r="H225" s="366">
        <v>127</v>
      </c>
      <c r="I225" s="429"/>
    </row>
    <row r="226" spans="1:9" ht="15.75" x14ac:dyDescent="0.25">
      <c r="A226" s="339" t="s">
        <v>255</v>
      </c>
      <c r="B226" s="368"/>
      <c r="C226" s="364">
        <v>8060</v>
      </c>
      <c r="D226" s="365"/>
      <c r="E226" s="362"/>
      <c r="F226" s="339" t="s">
        <v>379</v>
      </c>
      <c r="G226" s="430"/>
      <c r="H226" s="366">
        <v>525</v>
      </c>
      <c r="I226" s="430"/>
    </row>
    <row r="227" spans="1:9" ht="15.75" x14ac:dyDescent="0.25">
      <c r="A227" s="339" t="s">
        <v>272</v>
      </c>
      <c r="B227" s="368"/>
      <c r="C227" s="364">
        <v>716</v>
      </c>
      <c r="D227" s="365"/>
      <c r="E227" s="362"/>
      <c r="F227" s="257" t="s">
        <v>385</v>
      </c>
      <c r="G227" s="257" t="s">
        <v>1176</v>
      </c>
      <c r="H227" s="257">
        <v>491</v>
      </c>
      <c r="I227" s="295"/>
    </row>
    <row r="228" spans="1:9" ht="15.75" x14ac:dyDescent="0.25">
      <c r="A228" s="339" t="s">
        <v>256</v>
      </c>
      <c r="B228" s="368"/>
      <c r="C228" s="364">
        <v>858</v>
      </c>
      <c r="D228" s="365"/>
      <c r="E228" s="362"/>
      <c r="F228" s="257" t="s">
        <v>1177</v>
      </c>
      <c r="G228" s="257" t="s">
        <v>1178</v>
      </c>
      <c r="H228" s="257">
        <v>1790</v>
      </c>
      <c r="I228" s="295"/>
    </row>
    <row r="229" spans="1:9" ht="15.75" x14ac:dyDescent="0.25">
      <c r="A229" s="339" t="s">
        <v>273</v>
      </c>
      <c r="B229" s="368"/>
      <c r="C229" s="364">
        <v>804</v>
      </c>
      <c r="D229" s="365"/>
      <c r="E229" s="362"/>
      <c r="F229" s="257" t="s">
        <v>1179</v>
      </c>
      <c r="G229" s="257" t="s">
        <v>1180</v>
      </c>
      <c r="H229" s="257">
        <v>216</v>
      </c>
      <c r="I229" s="295"/>
    </row>
    <row r="230" spans="1:9" ht="15.75" x14ac:dyDescent="0.25">
      <c r="A230" s="339" t="s">
        <v>1181</v>
      </c>
      <c r="B230" s="370"/>
      <c r="C230" s="364">
        <v>1650</v>
      </c>
      <c r="D230" s="365"/>
      <c r="E230" s="371"/>
      <c r="F230" s="257" t="s">
        <v>1182</v>
      </c>
      <c r="G230" s="257" t="s">
        <v>1183</v>
      </c>
      <c r="H230" s="257">
        <v>11100</v>
      </c>
      <c r="I230" s="362"/>
    </row>
    <row r="231" spans="1:9" ht="15.75" x14ac:dyDescent="0.25">
      <c r="A231" s="339" t="s">
        <v>1184</v>
      </c>
      <c r="B231" s="367" t="s">
        <v>1185</v>
      </c>
      <c r="C231" s="364">
        <v>6630</v>
      </c>
      <c r="D231" s="365"/>
      <c r="E231" s="371"/>
      <c r="F231" s="257" t="s">
        <v>1186</v>
      </c>
      <c r="G231" s="257" t="s">
        <v>1187</v>
      </c>
      <c r="H231" s="257">
        <v>8900</v>
      </c>
      <c r="I231" s="362"/>
    </row>
    <row r="232" spans="1:9" ht="15.75" x14ac:dyDescent="0.25">
      <c r="A232" s="339" t="s">
        <v>1188</v>
      </c>
      <c r="B232" s="368"/>
      <c r="C232" s="364">
        <v>11100</v>
      </c>
      <c r="D232" s="365"/>
      <c r="E232" s="371"/>
      <c r="F232" s="372" t="s">
        <v>1189</v>
      </c>
      <c r="G232" s="373"/>
      <c r="H232" s="374"/>
      <c r="I232" s="362"/>
    </row>
    <row r="233" spans="1:9" ht="15.75" x14ac:dyDescent="0.25">
      <c r="A233" s="339" t="s">
        <v>1190</v>
      </c>
      <c r="B233" s="368"/>
      <c r="C233" s="364">
        <v>8900</v>
      </c>
      <c r="D233" s="365"/>
      <c r="E233" s="371"/>
      <c r="F233" s="375" t="s">
        <v>1191</v>
      </c>
      <c r="G233" s="285"/>
      <c r="H233" s="285"/>
      <c r="I233" s="362"/>
    </row>
    <row r="234" spans="1:9" ht="15.75" x14ac:dyDescent="0.25">
      <c r="A234" s="339" t="s">
        <v>1192</v>
      </c>
      <c r="B234" s="368"/>
      <c r="C234" s="364">
        <v>9540</v>
      </c>
      <c r="D234" s="365"/>
      <c r="E234" s="371"/>
      <c r="F234" s="291"/>
      <c r="G234" s="291"/>
      <c r="H234" s="291"/>
      <c r="I234" s="362"/>
    </row>
    <row r="235" spans="1:9" ht="15.75" x14ac:dyDescent="0.25">
      <c r="A235" s="339" t="s">
        <v>1193</v>
      </c>
      <c r="B235" s="368"/>
      <c r="C235" s="364">
        <v>9200</v>
      </c>
      <c r="D235" s="365"/>
      <c r="E235" s="371"/>
      <c r="F235" s="291"/>
      <c r="G235" s="291"/>
      <c r="H235" s="291"/>
      <c r="I235" s="362"/>
    </row>
    <row r="236" spans="1:9" ht="15.75" x14ac:dyDescent="0.25">
      <c r="A236" s="339" t="s">
        <v>1194</v>
      </c>
      <c r="B236" s="368"/>
      <c r="C236" s="364">
        <v>8550</v>
      </c>
      <c r="D236" s="365"/>
      <c r="E236" s="362"/>
      <c r="F236" s="291"/>
      <c r="G236" s="291"/>
      <c r="H236" s="291"/>
      <c r="I236" s="295"/>
    </row>
    <row r="237" spans="1:9" ht="15.75" x14ac:dyDescent="0.25">
      <c r="A237" s="339" t="s">
        <v>1195</v>
      </c>
      <c r="B237" s="368"/>
      <c r="C237" s="364">
        <v>7910</v>
      </c>
      <c r="D237" s="365"/>
      <c r="E237" s="362"/>
      <c r="F237" s="295"/>
      <c r="G237" s="295"/>
      <c r="H237" s="295"/>
      <c r="I237" s="295"/>
    </row>
    <row r="238" spans="1:9" ht="15.75" x14ac:dyDescent="0.25">
      <c r="A238" s="339" t="s">
        <v>265</v>
      </c>
      <c r="B238" s="368"/>
      <c r="C238" s="364">
        <v>7190</v>
      </c>
      <c r="D238" s="365"/>
      <c r="E238" s="362"/>
      <c r="F238" s="295"/>
      <c r="G238" s="295"/>
      <c r="H238" s="295"/>
      <c r="I238" s="295"/>
    </row>
    <row r="239" spans="1:9" ht="18.75" x14ac:dyDescent="0.25">
      <c r="A239" s="339" t="s">
        <v>1196</v>
      </c>
      <c r="B239" s="368"/>
      <c r="C239" s="364">
        <v>17400</v>
      </c>
      <c r="D239" s="365"/>
      <c r="E239" s="362"/>
      <c r="F239" s="295"/>
      <c r="G239" s="295"/>
      <c r="H239" s="295"/>
      <c r="I239" s="295"/>
    </row>
    <row r="240" spans="1:9" ht="18.75" x14ac:dyDescent="0.25">
      <c r="A240" s="339" t="s">
        <v>1197</v>
      </c>
      <c r="B240" s="370"/>
      <c r="C240" s="364">
        <v>9200</v>
      </c>
      <c r="D240" s="365"/>
      <c r="E240" s="362"/>
      <c r="F240" s="295"/>
      <c r="G240" s="295"/>
      <c r="H240" s="295"/>
      <c r="I240" s="295"/>
    </row>
    <row r="241" spans="1:9" ht="15.75" x14ac:dyDescent="0.25">
      <c r="A241" s="376" t="s">
        <v>1198</v>
      </c>
      <c r="B241" s="367" t="s">
        <v>1199</v>
      </c>
      <c r="C241" s="364">
        <v>0</v>
      </c>
      <c r="D241" s="377"/>
      <c r="E241" s="362"/>
      <c r="F241" s="295"/>
      <c r="G241" s="295"/>
      <c r="H241" s="295"/>
      <c r="I241" s="295"/>
    </row>
    <row r="242" spans="1:9" ht="15.75" x14ac:dyDescent="0.25">
      <c r="A242" s="338" t="s">
        <v>1200</v>
      </c>
      <c r="B242" s="368"/>
      <c r="C242" s="364">
        <v>16.12</v>
      </c>
      <c r="D242" s="377"/>
      <c r="E242" s="362"/>
      <c r="F242" s="295"/>
      <c r="G242" s="295"/>
      <c r="H242" s="295"/>
      <c r="I242" s="295"/>
    </row>
    <row r="243" spans="1:9" ht="15.75" x14ac:dyDescent="0.25">
      <c r="A243" s="338" t="s">
        <v>1201</v>
      </c>
      <c r="B243" s="368"/>
      <c r="C243" s="364">
        <v>13.64</v>
      </c>
      <c r="D243" s="377"/>
      <c r="E243" s="362"/>
      <c r="F243" s="295"/>
      <c r="G243" s="295"/>
      <c r="H243" s="295"/>
      <c r="I243" s="295"/>
    </row>
    <row r="244" spans="1:9" ht="15.75" x14ac:dyDescent="0.25">
      <c r="A244" s="338" t="s">
        <v>1202</v>
      </c>
      <c r="B244" s="368"/>
      <c r="C244" s="364">
        <v>18.599999999999998</v>
      </c>
      <c r="D244" s="377"/>
      <c r="E244" s="362"/>
      <c r="F244" s="295"/>
      <c r="G244" s="295"/>
      <c r="H244" s="295"/>
      <c r="I244" s="295"/>
    </row>
    <row r="245" spans="1:9" ht="15.75" x14ac:dyDescent="0.25">
      <c r="A245" s="338" t="s">
        <v>1203</v>
      </c>
      <c r="B245" s="368"/>
      <c r="C245" s="364">
        <v>2100</v>
      </c>
      <c r="D245" s="377"/>
      <c r="E245" s="362"/>
      <c r="F245" s="295"/>
      <c r="G245" s="295"/>
      <c r="H245" s="295"/>
      <c r="I245" s="295"/>
    </row>
    <row r="246" spans="1:9" ht="15.75" x14ac:dyDescent="0.25">
      <c r="A246" s="338" t="s">
        <v>1204</v>
      </c>
      <c r="B246" s="368"/>
      <c r="C246" s="364">
        <v>1330</v>
      </c>
      <c r="D246" s="377"/>
      <c r="E246" s="362"/>
      <c r="F246" s="295"/>
      <c r="G246" s="295"/>
      <c r="H246" s="295"/>
      <c r="I246" s="295"/>
    </row>
    <row r="247" spans="1:9" ht="15.75" x14ac:dyDescent="0.25">
      <c r="A247" s="338" t="s">
        <v>1205</v>
      </c>
      <c r="B247" s="368"/>
      <c r="C247" s="364">
        <v>1766</v>
      </c>
      <c r="D247" s="377"/>
      <c r="E247" s="362"/>
      <c r="F247" s="295"/>
      <c r="G247" s="295"/>
      <c r="H247" s="295"/>
      <c r="I247" s="295"/>
    </row>
    <row r="248" spans="1:9" ht="15.75" x14ac:dyDescent="0.25">
      <c r="A248" s="338" t="s">
        <v>1206</v>
      </c>
      <c r="B248" s="368"/>
      <c r="C248" s="364">
        <v>3443.7000000000003</v>
      </c>
      <c r="D248" s="377"/>
      <c r="E248" s="362"/>
      <c r="F248" s="295"/>
      <c r="G248" s="295"/>
      <c r="H248" s="295"/>
      <c r="I248" s="295"/>
    </row>
    <row r="249" spans="1:9" ht="15.75" x14ac:dyDescent="0.25">
      <c r="A249" s="338" t="s">
        <v>1207</v>
      </c>
      <c r="B249" s="368"/>
      <c r="C249" s="364">
        <v>3921.6</v>
      </c>
      <c r="D249" s="377"/>
      <c r="E249" s="362"/>
      <c r="F249" s="295"/>
      <c r="G249" s="295"/>
      <c r="H249" s="295"/>
      <c r="I249" s="295"/>
    </row>
    <row r="250" spans="1:9" ht="15.75" x14ac:dyDescent="0.25">
      <c r="A250" s="338" t="s">
        <v>1208</v>
      </c>
      <c r="B250" s="368"/>
      <c r="C250" s="364">
        <v>0</v>
      </c>
      <c r="D250" s="377"/>
      <c r="E250" s="362"/>
      <c r="F250" s="295"/>
      <c r="G250" s="295"/>
      <c r="H250" s="295"/>
      <c r="I250" s="295"/>
    </row>
    <row r="251" spans="1:9" ht="15.75" x14ac:dyDescent="0.25">
      <c r="A251" s="338" t="s">
        <v>1209</v>
      </c>
      <c r="B251" s="368"/>
      <c r="C251" s="364">
        <v>2107</v>
      </c>
      <c r="D251" s="377"/>
      <c r="E251" s="362"/>
      <c r="F251" s="295"/>
      <c r="G251" s="295"/>
      <c r="H251" s="295"/>
      <c r="I251" s="295"/>
    </row>
    <row r="252" spans="1:9" ht="15.75" x14ac:dyDescent="0.25">
      <c r="A252" s="338" t="s">
        <v>1210</v>
      </c>
      <c r="B252" s="368"/>
      <c r="C252" s="364">
        <v>2803.5</v>
      </c>
      <c r="D252" s="377"/>
      <c r="E252" s="362"/>
      <c r="F252" s="295"/>
      <c r="G252" s="295"/>
      <c r="H252" s="295"/>
      <c r="I252" s="295"/>
    </row>
    <row r="253" spans="1:9" ht="15.75" x14ac:dyDescent="0.25">
      <c r="A253" s="338" t="s">
        <v>1211</v>
      </c>
      <c r="B253" s="368"/>
      <c r="C253" s="364">
        <v>1773.85</v>
      </c>
      <c r="D253" s="377"/>
      <c r="E253" s="362"/>
      <c r="F253" s="295"/>
      <c r="G253" s="295"/>
      <c r="H253" s="295"/>
      <c r="I253" s="295"/>
    </row>
    <row r="254" spans="1:9" ht="15.75" x14ac:dyDescent="0.25">
      <c r="A254" s="338" t="s">
        <v>1212</v>
      </c>
      <c r="B254" s="368"/>
      <c r="C254" s="364">
        <v>1627.25</v>
      </c>
      <c r="D254" s="377"/>
      <c r="E254" s="362"/>
      <c r="F254" s="295"/>
      <c r="G254" s="295"/>
      <c r="H254" s="295"/>
      <c r="I254" s="295"/>
    </row>
    <row r="255" spans="1:9" ht="15.75" x14ac:dyDescent="0.25">
      <c r="A255" s="338" t="s">
        <v>1213</v>
      </c>
      <c r="B255" s="368"/>
      <c r="C255" s="364">
        <v>1551.75</v>
      </c>
      <c r="D255" s="377"/>
      <c r="E255" s="362"/>
      <c r="F255" s="295"/>
      <c r="G255" s="295"/>
      <c r="H255" s="295"/>
      <c r="I255" s="295"/>
    </row>
    <row r="256" spans="1:9" ht="15.75" x14ac:dyDescent="0.25">
      <c r="A256" s="338" t="s">
        <v>1214</v>
      </c>
      <c r="B256" s="368"/>
      <c r="C256" s="364">
        <v>1824.5</v>
      </c>
      <c r="D256" s="377"/>
      <c r="E256" s="362"/>
      <c r="F256" s="295"/>
      <c r="G256" s="295"/>
      <c r="H256" s="295"/>
      <c r="I256" s="295"/>
    </row>
    <row r="257" spans="1:9" ht="15.75" x14ac:dyDescent="0.25">
      <c r="A257" s="338" t="s">
        <v>1215</v>
      </c>
      <c r="B257" s="368"/>
      <c r="C257" s="364">
        <v>2301.2000000000003</v>
      </c>
      <c r="D257" s="377"/>
      <c r="E257" s="362"/>
      <c r="F257" s="295"/>
      <c r="G257" s="295"/>
      <c r="H257" s="295"/>
      <c r="I257" s="295"/>
    </row>
    <row r="258" spans="1:9" ht="15.75" x14ac:dyDescent="0.25">
      <c r="A258" s="338" t="s">
        <v>1216</v>
      </c>
      <c r="B258" s="368"/>
      <c r="C258" s="364">
        <v>0</v>
      </c>
      <c r="D258" s="377"/>
      <c r="E258" s="362"/>
      <c r="F258" s="295"/>
      <c r="G258" s="295"/>
      <c r="H258" s="295"/>
      <c r="I258" s="295"/>
    </row>
    <row r="259" spans="1:9" ht="15.75" x14ac:dyDescent="0.25">
      <c r="A259" s="338" t="s">
        <v>1217</v>
      </c>
      <c r="B259" s="368"/>
      <c r="C259" s="364">
        <v>0</v>
      </c>
      <c r="D259" s="377"/>
      <c r="E259" s="362"/>
      <c r="F259" s="295"/>
      <c r="G259" s="295"/>
      <c r="H259" s="295"/>
      <c r="I259" s="295"/>
    </row>
    <row r="260" spans="1:9" ht="15.75" x14ac:dyDescent="0.25">
      <c r="A260" s="338" t="s">
        <v>1218</v>
      </c>
      <c r="B260" s="368"/>
      <c r="C260" s="364">
        <v>2087.5</v>
      </c>
      <c r="D260" s="377"/>
      <c r="E260" s="362"/>
      <c r="F260" s="295"/>
      <c r="G260" s="295"/>
      <c r="H260" s="295"/>
      <c r="I260" s="295"/>
    </row>
    <row r="261" spans="1:9" ht="15.75" x14ac:dyDescent="0.25">
      <c r="A261" s="338" t="s">
        <v>1219</v>
      </c>
      <c r="B261" s="368"/>
      <c r="C261" s="364">
        <v>2228.75</v>
      </c>
      <c r="D261" s="377"/>
      <c r="E261" s="362"/>
      <c r="F261" s="295"/>
      <c r="G261" s="295"/>
      <c r="H261" s="295"/>
      <c r="I261" s="295"/>
    </row>
    <row r="262" spans="1:9" ht="15.75" x14ac:dyDescent="0.25">
      <c r="A262" s="338" t="s">
        <v>1220</v>
      </c>
      <c r="B262" s="368"/>
      <c r="C262" s="364">
        <v>13.64</v>
      </c>
      <c r="D262" s="377"/>
      <c r="E262" s="362"/>
      <c r="F262" s="295"/>
      <c r="G262" s="295"/>
      <c r="H262" s="295"/>
      <c r="I262" s="295"/>
    </row>
    <row r="263" spans="1:9" ht="15.75" x14ac:dyDescent="0.25">
      <c r="A263" s="338" t="s">
        <v>1221</v>
      </c>
      <c r="B263" s="368"/>
      <c r="C263" s="364">
        <v>3.7199999999999998</v>
      </c>
      <c r="D263" s="377"/>
      <c r="E263" s="362"/>
      <c r="F263" s="295"/>
      <c r="G263" s="295"/>
      <c r="H263" s="295"/>
      <c r="I263" s="295"/>
    </row>
    <row r="264" spans="1:9" ht="15.75" x14ac:dyDescent="0.25">
      <c r="A264" s="338" t="s">
        <v>1222</v>
      </c>
      <c r="B264" s="368"/>
      <c r="C264" s="364">
        <v>441.5</v>
      </c>
      <c r="D264" s="377"/>
      <c r="E264" s="362"/>
      <c r="F264" s="295"/>
      <c r="G264" s="295"/>
      <c r="H264" s="295"/>
      <c r="I264" s="295"/>
    </row>
    <row r="265" spans="1:9" ht="15.75" x14ac:dyDescent="0.25">
      <c r="A265" s="338" t="s">
        <v>1223</v>
      </c>
      <c r="B265" s="368"/>
      <c r="C265" s="364">
        <v>2053.1</v>
      </c>
      <c r="D265" s="377"/>
      <c r="E265" s="362"/>
      <c r="F265" s="295"/>
      <c r="G265" s="295"/>
      <c r="H265" s="295"/>
      <c r="I265" s="295"/>
    </row>
    <row r="266" spans="1:9" ht="15.75" x14ac:dyDescent="0.25">
      <c r="A266" s="338" t="s">
        <v>1224</v>
      </c>
      <c r="B266" s="368"/>
      <c r="C266" s="364">
        <v>0</v>
      </c>
      <c r="D266" s="377"/>
      <c r="E266" s="362"/>
      <c r="F266" s="295"/>
      <c r="G266" s="295"/>
      <c r="H266" s="295"/>
      <c r="I266" s="295"/>
    </row>
    <row r="267" spans="1:9" ht="15.75" x14ac:dyDescent="0.25">
      <c r="A267" s="338" t="s">
        <v>1225</v>
      </c>
      <c r="B267" s="368"/>
      <c r="C267" s="364">
        <v>0</v>
      </c>
      <c r="D267" s="377"/>
      <c r="E267" s="362"/>
      <c r="F267" s="295"/>
      <c r="G267" s="295"/>
      <c r="H267" s="295"/>
      <c r="I267" s="295"/>
    </row>
    <row r="268" spans="1:9" ht="15.75" x14ac:dyDescent="0.25">
      <c r="A268" s="338" t="s">
        <v>1226</v>
      </c>
      <c r="B268" s="368"/>
      <c r="C268" s="364">
        <v>22.32</v>
      </c>
      <c r="D268" s="377"/>
      <c r="E268" s="362"/>
      <c r="F268" s="295"/>
      <c r="G268" s="295"/>
      <c r="H268" s="295"/>
      <c r="I268" s="295"/>
    </row>
    <row r="269" spans="1:9" ht="15.75" x14ac:dyDescent="0.25">
      <c r="A269" s="338" t="s">
        <v>1227</v>
      </c>
      <c r="B269" s="368"/>
      <c r="C269" s="364">
        <v>93</v>
      </c>
      <c r="D269" s="377"/>
      <c r="E269" s="362"/>
      <c r="F269" s="295"/>
      <c r="G269" s="295"/>
      <c r="H269" s="295"/>
      <c r="I269" s="295"/>
    </row>
    <row r="270" spans="1:9" ht="15.75" x14ac:dyDescent="0.25">
      <c r="A270" s="338" t="s">
        <v>1228</v>
      </c>
      <c r="B270" s="368"/>
      <c r="C270" s="364">
        <v>843.69999999999993</v>
      </c>
      <c r="D270" s="377"/>
      <c r="E270" s="362"/>
      <c r="F270" s="295"/>
      <c r="G270" s="295"/>
      <c r="H270" s="295"/>
      <c r="I270" s="295"/>
    </row>
    <row r="271" spans="1:9" ht="15.75" x14ac:dyDescent="0.25">
      <c r="A271" s="338" t="s">
        <v>1229</v>
      </c>
      <c r="B271" s="368"/>
      <c r="C271" s="364">
        <v>2346</v>
      </c>
      <c r="D271" s="377"/>
      <c r="E271" s="362"/>
      <c r="F271" s="295"/>
      <c r="G271" s="295"/>
      <c r="H271" s="295"/>
      <c r="I271" s="295"/>
    </row>
    <row r="272" spans="1:9" ht="15.75" x14ac:dyDescent="0.25">
      <c r="A272" s="338" t="s">
        <v>1230</v>
      </c>
      <c r="B272" s="368"/>
      <c r="C272" s="364">
        <v>3026.69</v>
      </c>
      <c r="D272" s="377"/>
      <c r="E272" s="362"/>
      <c r="F272" s="295"/>
      <c r="G272" s="295"/>
      <c r="H272" s="295"/>
      <c r="I272" s="295"/>
    </row>
    <row r="273" spans="1:9" ht="15.75" x14ac:dyDescent="0.25">
      <c r="A273" s="338" t="s">
        <v>1231</v>
      </c>
      <c r="B273" s="368"/>
      <c r="C273" s="364">
        <v>1809.3400000000001</v>
      </c>
      <c r="D273" s="377"/>
      <c r="E273" s="362"/>
      <c r="F273" s="295"/>
      <c r="G273" s="295"/>
      <c r="H273" s="295"/>
      <c r="I273" s="295"/>
    </row>
    <row r="274" spans="1:9" ht="15.75" x14ac:dyDescent="0.25">
      <c r="A274" s="338" t="s">
        <v>1232</v>
      </c>
      <c r="B274" s="368"/>
      <c r="C274" s="364">
        <v>3.1</v>
      </c>
      <c r="D274" s="377"/>
      <c r="E274" s="362"/>
      <c r="F274" s="295"/>
      <c r="G274" s="295"/>
      <c r="H274" s="295"/>
      <c r="I274" s="295"/>
    </row>
    <row r="275" spans="1:9" ht="15.75" x14ac:dyDescent="0.25">
      <c r="A275" s="338" t="s">
        <v>1233</v>
      </c>
      <c r="B275" s="368"/>
      <c r="C275" s="364">
        <v>2966.7</v>
      </c>
      <c r="D275" s="377"/>
      <c r="E275" s="362"/>
      <c r="F275" s="295"/>
      <c r="G275" s="295"/>
      <c r="H275" s="295"/>
      <c r="I275" s="295"/>
    </row>
    <row r="276" spans="1:9" ht="15.75" x14ac:dyDescent="0.25">
      <c r="A276" s="338" t="s">
        <v>1234</v>
      </c>
      <c r="B276" s="368"/>
      <c r="C276" s="364">
        <v>2383.9</v>
      </c>
      <c r="D276" s="377"/>
      <c r="E276" s="362"/>
      <c r="F276" s="295"/>
      <c r="G276" s="295"/>
      <c r="H276" s="295"/>
      <c r="I276" s="295"/>
    </row>
    <row r="277" spans="1:9" ht="15.75" x14ac:dyDescent="0.25">
      <c r="A277" s="338" t="s">
        <v>1235</v>
      </c>
      <c r="B277" s="368"/>
      <c r="C277" s="364">
        <v>1258.4000000000001</v>
      </c>
      <c r="D277" s="377"/>
      <c r="E277" s="362"/>
      <c r="F277" s="295"/>
      <c r="G277" s="295"/>
      <c r="H277" s="295"/>
      <c r="I277" s="295"/>
    </row>
    <row r="278" spans="1:9" ht="15.75" x14ac:dyDescent="0.25">
      <c r="A278" s="338" t="s">
        <v>1236</v>
      </c>
      <c r="B278" s="368"/>
      <c r="C278" s="364">
        <v>2630.6</v>
      </c>
      <c r="D278" s="377"/>
      <c r="E278" s="362"/>
      <c r="F278" s="295"/>
      <c r="G278" s="295"/>
      <c r="H278" s="295"/>
      <c r="I278" s="295"/>
    </row>
    <row r="279" spans="1:9" ht="15.75" x14ac:dyDescent="0.25">
      <c r="A279" s="338" t="s">
        <v>1237</v>
      </c>
      <c r="B279" s="368"/>
      <c r="C279" s="364">
        <v>3189.5</v>
      </c>
      <c r="D279" s="377"/>
      <c r="E279" s="362"/>
      <c r="F279" s="295"/>
      <c r="G279" s="295"/>
      <c r="H279" s="295"/>
      <c r="I279" s="295"/>
    </row>
    <row r="280" spans="1:9" ht="15.75" x14ac:dyDescent="0.25">
      <c r="A280" s="338" t="s">
        <v>1238</v>
      </c>
      <c r="B280" s="368"/>
      <c r="C280" s="364">
        <v>3142.95</v>
      </c>
      <c r="D280" s="377"/>
      <c r="E280" s="362"/>
      <c r="F280" s="295"/>
      <c r="G280" s="295"/>
      <c r="H280" s="295"/>
      <c r="I280" s="295"/>
    </row>
    <row r="281" spans="1:9" ht="15.75" x14ac:dyDescent="0.25">
      <c r="A281" s="338" t="s">
        <v>1239</v>
      </c>
      <c r="B281" s="368"/>
      <c r="C281" s="364">
        <v>2525.6000000000004</v>
      </c>
      <c r="D281" s="377"/>
      <c r="E281" s="362"/>
      <c r="F281" s="295"/>
      <c r="G281" s="295"/>
      <c r="H281" s="295"/>
      <c r="I281" s="295"/>
    </row>
    <row r="282" spans="1:9" ht="15.75" x14ac:dyDescent="0.25">
      <c r="A282" s="338" t="s">
        <v>1240</v>
      </c>
      <c r="B282" s="368"/>
      <c r="C282" s="364">
        <v>3084.5</v>
      </c>
      <c r="D282" s="377"/>
      <c r="E282" s="362"/>
      <c r="F282" s="295"/>
      <c r="G282" s="295"/>
      <c r="H282" s="295"/>
      <c r="I282" s="295"/>
    </row>
    <row r="283" spans="1:9" ht="15.75" x14ac:dyDescent="0.25">
      <c r="A283" s="338" t="s">
        <v>1241</v>
      </c>
      <c r="B283" s="368"/>
      <c r="C283" s="364">
        <v>2725.45</v>
      </c>
      <c r="D283" s="377"/>
      <c r="E283" s="362"/>
      <c r="F283" s="295"/>
      <c r="G283" s="295"/>
      <c r="H283" s="295"/>
      <c r="I283" s="295"/>
    </row>
    <row r="284" spans="1:9" ht="15.75" x14ac:dyDescent="0.25">
      <c r="A284" s="338" t="s">
        <v>1242</v>
      </c>
      <c r="B284" s="368"/>
      <c r="C284" s="364">
        <v>2591.9899999999998</v>
      </c>
      <c r="D284" s="377"/>
      <c r="E284" s="362"/>
      <c r="F284" s="295"/>
      <c r="G284" s="295"/>
      <c r="H284" s="295"/>
      <c r="I284" s="295"/>
    </row>
    <row r="285" spans="1:9" ht="15.75" x14ac:dyDescent="0.25">
      <c r="A285" s="338" t="s">
        <v>1243</v>
      </c>
      <c r="B285" s="368"/>
      <c r="C285" s="364">
        <v>2280.25</v>
      </c>
      <c r="D285" s="377"/>
      <c r="E285" s="362"/>
      <c r="F285" s="295"/>
      <c r="G285" s="295"/>
      <c r="H285" s="295"/>
      <c r="I285" s="295"/>
    </row>
    <row r="286" spans="1:9" ht="15.75" x14ac:dyDescent="0.25">
      <c r="A286" s="338" t="s">
        <v>1244</v>
      </c>
      <c r="B286" s="368"/>
      <c r="C286" s="364">
        <v>2439.6</v>
      </c>
      <c r="D286" s="377"/>
      <c r="E286" s="362"/>
      <c r="F286" s="295"/>
      <c r="G286" s="295"/>
      <c r="H286" s="295"/>
      <c r="I286" s="295"/>
    </row>
    <row r="287" spans="1:9" ht="15.75" x14ac:dyDescent="0.25">
      <c r="A287" s="338" t="s">
        <v>1245</v>
      </c>
      <c r="B287" s="368"/>
      <c r="C287" s="364">
        <v>1505.125</v>
      </c>
      <c r="D287" s="377"/>
      <c r="E287" s="362"/>
      <c r="F287" s="295"/>
      <c r="G287" s="295"/>
      <c r="H287" s="295"/>
      <c r="I287" s="295"/>
    </row>
    <row r="288" spans="1:9" ht="15.75" x14ac:dyDescent="0.25">
      <c r="A288" s="338" t="s">
        <v>1246</v>
      </c>
      <c r="B288" s="368"/>
      <c r="C288" s="364">
        <v>1508.4</v>
      </c>
      <c r="D288" s="377"/>
      <c r="E288" s="362"/>
      <c r="F288" s="295"/>
      <c r="G288" s="295"/>
      <c r="H288" s="295"/>
      <c r="I288" s="295"/>
    </row>
    <row r="289" spans="1:9" ht="15.75" x14ac:dyDescent="0.25">
      <c r="A289" s="338" t="s">
        <v>1247</v>
      </c>
      <c r="B289" s="368"/>
      <c r="C289" s="364">
        <v>2138.25</v>
      </c>
      <c r="D289" s="377"/>
      <c r="E289" s="362"/>
      <c r="F289" s="295"/>
      <c r="G289" s="295"/>
      <c r="H289" s="295"/>
      <c r="I289" s="295"/>
    </row>
    <row r="290" spans="1:9" ht="15.75" x14ac:dyDescent="0.25">
      <c r="A290" s="338" t="s">
        <v>1248</v>
      </c>
      <c r="B290" s="368"/>
      <c r="C290" s="364">
        <v>3606.5</v>
      </c>
      <c r="D290" s="377"/>
      <c r="E290" s="362"/>
      <c r="F290" s="295"/>
      <c r="G290" s="295"/>
      <c r="H290" s="295"/>
      <c r="I290" s="295"/>
    </row>
    <row r="291" spans="1:9" ht="15.75" x14ac:dyDescent="0.25">
      <c r="A291" s="338" t="s">
        <v>1249</v>
      </c>
      <c r="B291" s="368"/>
      <c r="C291" s="364">
        <v>12.4</v>
      </c>
      <c r="D291" s="377"/>
      <c r="E291" s="362"/>
      <c r="F291" s="295"/>
      <c r="G291" s="295"/>
      <c r="H291" s="295"/>
      <c r="I291" s="295"/>
    </row>
    <row r="292" spans="1:9" ht="15.75" x14ac:dyDescent="0.25">
      <c r="A292" s="338" t="s">
        <v>1250</v>
      </c>
      <c r="B292" s="368"/>
      <c r="C292" s="364">
        <v>94.24</v>
      </c>
      <c r="D292" s="377"/>
      <c r="E292" s="362"/>
      <c r="F292" s="295"/>
      <c r="G292" s="295"/>
      <c r="H292" s="295"/>
      <c r="I292" s="295"/>
    </row>
    <row r="293" spans="1:9" ht="15.75" x14ac:dyDescent="0.25">
      <c r="A293" s="338" t="s">
        <v>1251</v>
      </c>
      <c r="B293" s="368"/>
      <c r="C293" s="364">
        <v>35.96</v>
      </c>
      <c r="D293" s="377"/>
      <c r="E293" s="362"/>
      <c r="F293" s="295"/>
      <c r="G293" s="295"/>
      <c r="H293" s="295"/>
      <c r="I293" s="295"/>
    </row>
    <row r="294" spans="1:9" ht="15.75" x14ac:dyDescent="0.25">
      <c r="A294" s="338" t="s">
        <v>1252</v>
      </c>
      <c r="B294" s="368"/>
      <c r="C294" s="364">
        <v>0</v>
      </c>
      <c r="D294" s="377"/>
      <c r="E294" s="362"/>
      <c r="F294" s="295"/>
      <c r="G294" s="295"/>
      <c r="H294" s="295"/>
      <c r="I294" s="295"/>
    </row>
    <row r="295" spans="1:9" ht="15.75" x14ac:dyDescent="0.25">
      <c r="A295" s="338" t="s">
        <v>1253</v>
      </c>
      <c r="B295" s="368"/>
      <c r="C295" s="364">
        <v>0</v>
      </c>
      <c r="D295" s="377"/>
      <c r="E295" s="362"/>
      <c r="F295" s="295"/>
      <c r="G295" s="295"/>
      <c r="H295" s="295"/>
      <c r="I295" s="295"/>
    </row>
    <row r="296" spans="1:9" ht="15.75" x14ac:dyDescent="0.25">
      <c r="A296" s="338" t="s">
        <v>1254</v>
      </c>
      <c r="B296" s="368"/>
      <c r="C296" s="364">
        <v>3245.4</v>
      </c>
      <c r="D296" s="377"/>
      <c r="E296" s="362"/>
      <c r="F296" s="295"/>
      <c r="G296" s="295"/>
      <c r="H296" s="295"/>
      <c r="I296" s="295"/>
    </row>
    <row r="297" spans="1:9" ht="15.75" x14ac:dyDescent="0.25">
      <c r="A297" s="338" t="s">
        <v>1255</v>
      </c>
      <c r="B297" s="368"/>
      <c r="C297" s="364">
        <v>24.8</v>
      </c>
      <c r="D297" s="377"/>
      <c r="E297" s="362"/>
      <c r="F297" s="295"/>
      <c r="G297" s="295"/>
      <c r="H297" s="295"/>
      <c r="I297" s="295"/>
    </row>
    <row r="298" spans="1:9" ht="15.75" x14ac:dyDescent="0.25">
      <c r="A298" s="338" t="s">
        <v>1256</v>
      </c>
      <c r="B298" s="368"/>
      <c r="C298" s="364">
        <v>0</v>
      </c>
      <c r="D298" s="377"/>
      <c r="E298" s="362"/>
      <c r="F298" s="295"/>
      <c r="G298" s="295"/>
      <c r="H298" s="295"/>
      <c r="I298" s="295"/>
    </row>
    <row r="299" spans="1:9" ht="15.75" x14ac:dyDescent="0.25">
      <c r="A299" s="338" t="s">
        <v>1257</v>
      </c>
      <c r="B299" s="368"/>
      <c r="C299" s="364">
        <v>0</v>
      </c>
      <c r="D299" s="377"/>
      <c r="E299" s="362"/>
      <c r="F299" s="295"/>
      <c r="G299" s="295"/>
      <c r="H299" s="295"/>
      <c r="I299" s="295"/>
    </row>
    <row r="300" spans="1:9" ht="15.75" x14ac:dyDescent="0.25">
      <c r="A300" s="338" t="s">
        <v>1258</v>
      </c>
      <c r="B300" s="368"/>
      <c r="C300" s="364">
        <v>1805.05</v>
      </c>
      <c r="D300" s="377"/>
      <c r="E300" s="362"/>
      <c r="F300" s="295"/>
      <c r="G300" s="295"/>
      <c r="H300" s="295"/>
      <c r="I300" s="295"/>
    </row>
    <row r="301" spans="1:9" ht="15.75" x14ac:dyDescent="0.25">
      <c r="A301" s="338" t="s">
        <v>1259</v>
      </c>
      <c r="B301" s="368"/>
      <c r="C301" s="364">
        <v>2264.4349999999999</v>
      </c>
      <c r="D301" s="377"/>
      <c r="E301" s="362"/>
      <c r="F301" s="295"/>
      <c r="G301" s="295"/>
      <c r="H301" s="295"/>
      <c r="I301" s="295"/>
    </row>
    <row r="302" spans="1:9" ht="15.75" x14ac:dyDescent="0.25">
      <c r="A302" s="338" t="s">
        <v>1260</v>
      </c>
      <c r="B302" s="368"/>
      <c r="C302" s="364">
        <v>1982.5</v>
      </c>
      <c r="D302" s="377"/>
      <c r="E302" s="362"/>
      <c r="F302" s="295"/>
      <c r="G302" s="295"/>
      <c r="H302" s="295"/>
      <c r="I302" s="295"/>
    </row>
    <row r="303" spans="1:9" ht="15.75" x14ac:dyDescent="0.25">
      <c r="A303" s="338" t="s">
        <v>1261</v>
      </c>
      <c r="B303" s="368"/>
      <c r="C303" s="364">
        <v>144.15199999999999</v>
      </c>
      <c r="D303" s="377"/>
      <c r="E303" s="362"/>
      <c r="F303" s="295"/>
      <c r="G303" s="295"/>
      <c r="H303" s="295"/>
      <c r="I303" s="295"/>
    </row>
    <row r="304" spans="1:9" ht="15.75" x14ac:dyDescent="0.25">
      <c r="A304" s="338" t="s">
        <v>1262</v>
      </c>
      <c r="B304" s="368"/>
      <c r="C304" s="364">
        <v>0</v>
      </c>
      <c r="D304" s="377"/>
      <c r="E304" s="362"/>
      <c r="F304" s="295"/>
      <c r="G304" s="295"/>
      <c r="H304" s="295"/>
      <c r="I304" s="295"/>
    </row>
    <row r="305" spans="1:9" ht="15.75" x14ac:dyDescent="0.25">
      <c r="A305" s="338" t="s">
        <v>1263</v>
      </c>
      <c r="B305" s="368"/>
      <c r="C305" s="364">
        <v>1887.97</v>
      </c>
      <c r="D305" s="377"/>
      <c r="E305" s="362"/>
      <c r="F305" s="295"/>
      <c r="G305" s="295"/>
      <c r="H305" s="295"/>
      <c r="I305" s="295"/>
    </row>
    <row r="306" spans="1:9" ht="15.75" x14ac:dyDescent="0.25">
      <c r="A306" s="338" t="s">
        <v>1264</v>
      </c>
      <c r="B306" s="368"/>
      <c r="C306" s="364">
        <v>0</v>
      </c>
      <c r="D306" s="377"/>
      <c r="E306" s="362"/>
      <c r="F306" s="295"/>
      <c r="G306" s="295"/>
      <c r="H306" s="295"/>
      <c r="I306" s="295"/>
    </row>
    <row r="307" spans="1:9" ht="15.75" x14ac:dyDescent="0.25">
      <c r="A307" s="338" t="s">
        <v>1265</v>
      </c>
      <c r="B307" s="368"/>
      <c r="C307" s="364">
        <v>87.2</v>
      </c>
      <c r="D307" s="377"/>
      <c r="E307" s="362"/>
      <c r="F307" s="295"/>
      <c r="G307" s="295"/>
      <c r="H307" s="295"/>
      <c r="I307" s="295"/>
    </row>
    <row r="308" spans="1:9" ht="15.75" x14ac:dyDescent="0.25">
      <c r="A308" s="338" t="s">
        <v>1266</v>
      </c>
      <c r="B308" s="368"/>
      <c r="C308" s="364">
        <v>128.69999999999999</v>
      </c>
      <c r="D308" s="377"/>
      <c r="E308" s="362"/>
      <c r="F308" s="295"/>
      <c r="G308" s="295"/>
      <c r="H308" s="295"/>
      <c r="I308" s="295"/>
    </row>
    <row r="309" spans="1:9" ht="15.75" x14ac:dyDescent="0.25">
      <c r="A309" s="338" t="s">
        <v>1267</v>
      </c>
      <c r="B309" s="368"/>
      <c r="C309" s="364">
        <v>32.488</v>
      </c>
      <c r="D309" s="377"/>
      <c r="E309" s="362"/>
      <c r="F309" s="295"/>
      <c r="G309" s="295"/>
      <c r="H309" s="295"/>
      <c r="I309" s="295"/>
    </row>
    <row r="310" spans="1:9" ht="15.75" x14ac:dyDescent="0.25">
      <c r="A310" s="338" t="s">
        <v>1268</v>
      </c>
      <c r="B310" s="368"/>
      <c r="C310" s="364">
        <v>0</v>
      </c>
      <c r="D310" s="377"/>
      <c r="E310" s="362"/>
      <c r="F310" s="295"/>
      <c r="G310" s="295"/>
      <c r="H310" s="295"/>
      <c r="I310" s="295"/>
    </row>
    <row r="311" spans="1:9" ht="15.75" x14ac:dyDescent="0.25">
      <c r="A311" s="338" t="s">
        <v>1269</v>
      </c>
      <c r="B311" s="368"/>
      <c r="C311" s="364">
        <v>0</v>
      </c>
      <c r="D311" s="377"/>
      <c r="E311" s="362"/>
      <c r="F311" s="295"/>
      <c r="G311" s="295"/>
      <c r="H311" s="295"/>
      <c r="I311" s="295"/>
    </row>
    <row r="312" spans="1:9" ht="15.75" x14ac:dyDescent="0.25">
      <c r="A312" s="338" t="s">
        <v>1270</v>
      </c>
      <c r="B312" s="368"/>
      <c r="C312" s="364">
        <v>5934.8</v>
      </c>
      <c r="D312" s="377"/>
      <c r="E312" s="362"/>
      <c r="F312" s="295"/>
      <c r="G312" s="295"/>
      <c r="H312" s="295"/>
      <c r="I312" s="295"/>
    </row>
    <row r="313" spans="1:9" ht="15.75" x14ac:dyDescent="0.25">
      <c r="A313" s="338" t="s">
        <v>1271</v>
      </c>
      <c r="B313" s="368"/>
      <c r="C313" s="364">
        <v>325.34999999999997</v>
      </c>
      <c r="D313" s="377"/>
      <c r="E313" s="362"/>
      <c r="F313" s="295"/>
      <c r="G313" s="295"/>
      <c r="H313" s="295"/>
      <c r="I313" s="295"/>
    </row>
    <row r="314" spans="1:9" ht="15.75" x14ac:dyDescent="0.25">
      <c r="A314" s="338" t="s">
        <v>1272</v>
      </c>
      <c r="B314" s="368"/>
      <c r="C314" s="364">
        <v>0</v>
      </c>
      <c r="D314" s="377"/>
      <c r="E314" s="362"/>
      <c r="F314" s="295"/>
      <c r="G314" s="295"/>
      <c r="H314" s="295"/>
      <c r="I314" s="295"/>
    </row>
    <row r="315" spans="1:9" ht="15.75" x14ac:dyDescent="0.25">
      <c r="A315" s="338" t="s">
        <v>1273</v>
      </c>
      <c r="B315" s="368"/>
      <c r="C315" s="364">
        <v>0</v>
      </c>
      <c r="D315" s="377"/>
      <c r="E315" s="362"/>
      <c r="F315" s="295"/>
      <c r="G315" s="295"/>
      <c r="H315" s="295"/>
      <c r="I315" s="295"/>
    </row>
    <row r="316" spans="1:9" ht="15.75" x14ac:dyDescent="0.25">
      <c r="A316" s="338" t="s">
        <v>1274</v>
      </c>
      <c r="B316" s="368"/>
      <c r="C316" s="364">
        <v>3985</v>
      </c>
      <c r="D316" s="377"/>
      <c r="E316" s="362"/>
      <c r="F316" s="295"/>
      <c r="G316" s="295"/>
      <c r="H316" s="295"/>
      <c r="I316" s="295"/>
    </row>
    <row r="317" spans="1:9" ht="15.75" x14ac:dyDescent="0.25">
      <c r="A317" s="338" t="s">
        <v>1275</v>
      </c>
      <c r="B317" s="368"/>
      <c r="C317" s="364">
        <v>13214</v>
      </c>
      <c r="D317" s="377"/>
      <c r="E317" s="362"/>
      <c r="F317" s="295"/>
      <c r="G317" s="295"/>
      <c r="H317" s="295"/>
      <c r="I317" s="295"/>
    </row>
    <row r="318" spans="1:9" ht="15.75" x14ac:dyDescent="0.25">
      <c r="A318" s="338" t="s">
        <v>1276</v>
      </c>
      <c r="B318" s="368"/>
      <c r="C318" s="364">
        <v>13396</v>
      </c>
      <c r="D318" s="377"/>
      <c r="E318" s="362"/>
      <c r="F318" s="295"/>
      <c r="G318" s="295"/>
      <c r="H318" s="295"/>
      <c r="I318" s="295"/>
    </row>
    <row r="319" spans="1:9" ht="15.75" x14ac:dyDescent="0.25">
      <c r="A319" s="338" t="s">
        <v>1277</v>
      </c>
      <c r="B319" s="368"/>
      <c r="C319" s="364">
        <v>4944.8</v>
      </c>
      <c r="D319" s="377"/>
      <c r="E319" s="362"/>
      <c r="F319" s="295"/>
      <c r="G319" s="295"/>
      <c r="H319" s="295"/>
      <c r="I319" s="295"/>
    </row>
    <row r="320" spans="1:9" ht="15.75" x14ac:dyDescent="0.25">
      <c r="A320" s="338" t="s">
        <v>1278</v>
      </c>
      <c r="B320" s="368"/>
      <c r="C320" s="364">
        <v>0</v>
      </c>
      <c r="D320" s="377"/>
      <c r="E320" s="362"/>
      <c r="F320" s="295"/>
      <c r="G320" s="295"/>
      <c r="H320" s="295"/>
      <c r="I320" s="295"/>
    </row>
    <row r="321" spans="1:9" ht="15.75" x14ac:dyDescent="0.25">
      <c r="A321" s="338" t="s">
        <v>1279</v>
      </c>
      <c r="B321" s="368"/>
      <c r="C321" s="364">
        <v>0</v>
      </c>
      <c r="D321" s="377"/>
      <c r="E321" s="362"/>
      <c r="F321" s="295"/>
      <c r="G321" s="295"/>
      <c r="H321" s="295"/>
      <c r="I321" s="295"/>
    </row>
    <row r="322" spans="1:9" ht="15.75" x14ac:dyDescent="0.25">
      <c r="A322" s="338" t="s">
        <v>1280</v>
      </c>
      <c r="B322" s="370"/>
      <c r="C322" s="364">
        <v>189.3</v>
      </c>
      <c r="D322" s="377"/>
      <c r="E322" s="362"/>
      <c r="F322" s="295"/>
      <c r="G322" s="295"/>
      <c r="H322" s="295"/>
      <c r="I322" s="295"/>
    </row>
    <row r="323" spans="1:9" ht="15.75" x14ac:dyDescent="0.25">
      <c r="A323" s="338" t="s">
        <v>1281</v>
      </c>
      <c r="B323" s="338"/>
      <c r="C323" s="364">
        <f>C207</f>
        <v>28</v>
      </c>
      <c r="D323" s="378"/>
      <c r="E323" s="362"/>
      <c r="F323" s="295"/>
      <c r="G323" s="295"/>
      <c r="H323" s="295"/>
      <c r="I323" s="295"/>
    </row>
    <row r="324" spans="1:9" ht="15.75" x14ac:dyDescent="0.25">
      <c r="A324" s="379" t="s">
        <v>1282</v>
      </c>
      <c r="B324" s="380"/>
      <c r="C324" s="381"/>
      <c r="D324" s="285"/>
      <c r="E324" s="295"/>
      <c r="F324" s="295"/>
      <c r="G324" s="295"/>
      <c r="H324" s="295"/>
      <c r="I324" s="295"/>
    </row>
    <row r="329" spans="1:9" ht="15.75" x14ac:dyDescent="0.25">
      <c r="A329" s="357" t="s">
        <v>1146</v>
      </c>
      <c r="B329" s="357" t="s">
        <v>1147</v>
      </c>
      <c r="C329" s="357" t="s">
        <v>1117</v>
      </c>
      <c r="D329" s="357" t="s">
        <v>1148</v>
      </c>
      <c r="E329" s="357" t="s">
        <v>415</v>
      </c>
    </row>
    <row r="330" spans="1:9" ht="15.75" x14ac:dyDescent="0.25">
      <c r="A330" s="252" t="s">
        <v>1149</v>
      </c>
      <c r="B330" s="252"/>
      <c r="C330" s="254" t="str">
        <f>"kg CO2e / "&amp;D330</f>
        <v>kg CO2e / t resíduo sólido enviado para deposição</v>
      </c>
      <c r="D330" s="254" t="s">
        <v>1150</v>
      </c>
      <c r="E330" s="252"/>
    </row>
    <row r="331" spans="1:9" ht="15.75" x14ac:dyDescent="0.25">
      <c r="A331" s="252" t="s">
        <v>820</v>
      </c>
      <c r="B331" s="253">
        <f>(4*'[1]Fatores de Emissão'!$E$248+0.24*'[1]Fatores de Emissão'!$E$249)/1000</f>
        <v>0.17560000000000001</v>
      </c>
      <c r="C331" s="254" t="str">
        <f>"kg CO2e / "&amp;D331</f>
        <v>kg CO2e / t resíduo sólido enviado para compostagem</v>
      </c>
      <c r="D331" s="254" t="s">
        <v>821</v>
      </c>
      <c r="E331" s="254" t="s">
        <v>822</v>
      </c>
    </row>
    <row r="332" spans="1:9" ht="15.75" x14ac:dyDescent="0.25">
      <c r="A332" s="252" t="s">
        <v>823</v>
      </c>
      <c r="B332" s="253">
        <f>(0.8*'[1]Fatores de Emissão'!$E$248+0*'[1]Fatores de Emissão'!$E$249)/1000</f>
        <v>2.2400000000000003E-2</v>
      </c>
      <c r="C332" s="254" t="str">
        <f>"kg CO2e / "&amp;D332</f>
        <v>kg CO2e / t resíduo sólido enviado para digestão anaeróbia</v>
      </c>
      <c r="D332" s="254" t="s">
        <v>824</v>
      </c>
      <c r="E332" s="254" t="s">
        <v>822</v>
      </c>
    </row>
    <row r="333" spans="1:9" ht="15.75" x14ac:dyDescent="0.25">
      <c r="A333" s="252" t="s">
        <v>1151</v>
      </c>
      <c r="B333" s="252"/>
      <c r="C333" s="254" t="str">
        <f>"kg CO2e / "&amp;D333</f>
        <v>kg CO2e / t resíduo enviado para incineração</v>
      </c>
      <c r="D333" s="254" t="s">
        <v>1152</v>
      </c>
      <c r="E333" s="252"/>
    </row>
    <row r="334" spans="1:9" ht="18" x14ac:dyDescent="0.25">
      <c r="A334" s="252" t="s">
        <v>1153</v>
      </c>
      <c r="B334" s="252"/>
      <c r="C334" s="254" t="str">
        <f>"kg CO2e / "&amp;D334</f>
        <v>kg CO2e / m3 de águas residuais enviadas para tratamento ou descarregadas</v>
      </c>
      <c r="D334" s="254" t="s">
        <v>1154</v>
      </c>
      <c r="E334" s="252"/>
    </row>
    <row r="335" spans="1:9" ht="15.75" x14ac:dyDescent="0.25">
      <c r="A335" s="252" t="s">
        <v>1155</v>
      </c>
      <c r="B335" s="252"/>
      <c r="C335" s="252" t="s">
        <v>1156</v>
      </c>
      <c r="D335" s="254"/>
      <c r="E335" s="252"/>
    </row>
  </sheetData>
  <mergeCells count="72">
    <mergeCell ref="J4:J5"/>
    <mergeCell ref="D5:E5"/>
    <mergeCell ref="F5:G5"/>
    <mergeCell ref="H5:I5"/>
    <mergeCell ref="B23:B25"/>
    <mergeCell ref="A4:A6"/>
    <mergeCell ref="B4:B6"/>
    <mergeCell ref="C4:C6"/>
    <mergeCell ref="D4:I4"/>
    <mergeCell ref="A26:A28"/>
    <mergeCell ref="A7:A8"/>
    <mergeCell ref="A9:A12"/>
    <mergeCell ref="A13:A14"/>
    <mergeCell ref="A15:A16"/>
    <mergeCell ref="A23:A25"/>
    <mergeCell ref="C23:C25"/>
    <mergeCell ref="D23:I23"/>
    <mergeCell ref="D24:E24"/>
    <mergeCell ref="F24:G24"/>
    <mergeCell ref="H24:I24"/>
    <mergeCell ref="A34:A36"/>
    <mergeCell ref="B34:B36"/>
    <mergeCell ref="C34:C36"/>
    <mergeCell ref="D34:I34"/>
    <mergeCell ref="D35:E35"/>
    <mergeCell ref="F35:G35"/>
    <mergeCell ref="H35:I35"/>
    <mergeCell ref="B61:B63"/>
    <mergeCell ref="C61:C63"/>
    <mergeCell ref="D61:D63"/>
    <mergeCell ref="A38:A41"/>
    <mergeCell ref="A47:A49"/>
    <mergeCell ref="B47:B49"/>
    <mergeCell ref="C47:C49"/>
    <mergeCell ref="D47:I47"/>
    <mergeCell ref="D48:E48"/>
    <mergeCell ref="F48:G48"/>
    <mergeCell ref="H48:I48"/>
    <mergeCell ref="A64:A68"/>
    <mergeCell ref="A69:A73"/>
    <mergeCell ref="A50:A52"/>
    <mergeCell ref="A53:A55"/>
    <mergeCell ref="A61:A63"/>
    <mergeCell ref="I84:I86"/>
    <mergeCell ref="E61:J61"/>
    <mergeCell ref="E62:F62"/>
    <mergeCell ref="G62:H62"/>
    <mergeCell ref="I62:J62"/>
    <mergeCell ref="A74:A78"/>
    <mergeCell ref="D84:E84"/>
    <mergeCell ref="F84:F85"/>
    <mergeCell ref="G84:G86"/>
    <mergeCell ref="H84:H85"/>
    <mergeCell ref="A114:A116"/>
    <mergeCell ref="B114:B116"/>
    <mergeCell ref="C114:C116"/>
    <mergeCell ref="D114:E115"/>
    <mergeCell ref="F114:G115"/>
    <mergeCell ref="Q114:Q116"/>
    <mergeCell ref="R114:R116"/>
    <mergeCell ref="C101:D101"/>
    <mergeCell ref="E101:E102"/>
    <mergeCell ref="F101:F103"/>
    <mergeCell ref="G101:G102"/>
    <mergeCell ref="H101:H103"/>
    <mergeCell ref="G207:G212"/>
    <mergeCell ref="I207:I226"/>
    <mergeCell ref="G219:G226"/>
    <mergeCell ref="H114:H115"/>
    <mergeCell ref="I114:P114"/>
    <mergeCell ref="I115:L115"/>
    <mergeCell ref="M115:P115"/>
  </mergeCells>
  <pageMargins left="0.7" right="0.7" top="0.75" bottom="0.75" header="0.3" footer="0.3"/>
  <customProperties>
    <customPr name="GUID" r:id="rId1"/>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9"/>
  <dimension ref="A1:J53"/>
  <sheetViews>
    <sheetView topLeftCell="A31" workbookViewId="0">
      <selection activeCell="A48" sqref="A48"/>
    </sheetView>
  </sheetViews>
  <sheetFormatPr defaultRowHeight="15" x14ac:dyDescent="0.25"/>
  <cols>
    <col min="1" max="1" width="28.5703125" style="8" customWidth="1"/>
    <col min="2" max="2" width="25.5703125" style="8" bestFit="1" customWidth="1"/>
    <col min="3" max="3" width="21" style="8" customWidth="1"/>
    <col min="4" max="4" width="23.7109375" style="8" customWidth="1"/>
    <col min="5" max="5" width="28.42578125" style="8" customWidth="1"/>
  </cols>
  <sheetData>
    <row r="1" spans="1:6" x14ac:dyDescent="0.25">
      <c r="A1" s="8" t="s">
        <v>468</v>
      </c>
      <c r="B1" s="8" t="s">
        <v>766</v>
      </c>
      <c r="C1" s="8" t="s">
        <v>469</v>
      </c>
      <c r="D1" s="8" t="s">
        <v>485</v>
      </c>
      <c r="E1" s="8" t="s">
        <v>415</v>
      </c>
      <c r="F1" s="203" t="s">
        <v>767</v>
      </c>
    </row>
    <row r="2" spans="1:6" x14ac:dyDescent="0.25">
      <c r="A2" s="8" t="s">
        <v>470</v>
      </c>
      <c r="B2" s="8" t="s">
        <v>487</v>
      </c>
      <c r="C2" s="8" t="s">
        <v>482</v>
      </c>
      <c r="D2" s="8">
        <f>ROUNDUP(F2/$F$12*$D$12,0)</f>
        <v>16980</v>
      </c>
      <c r="E2" s="8" t="s">
        <v>768</v>
      </c>
      <c r="F2">
        <v>7700</v>
      </c>
    </row>
    <row r="3" spans="1:6" x14ac:dyDescent="0.25">
      <c r="A3" s="8" t="s">
        <v>471</v>
      </c>
      <c r="B3" s="8" t="s">
        <v>487</v>
      </c>
      <c r="C3" s="8" t="s">
        <v>482</v>
      </c>
      <c r="D3" s="203">
        <f t="shared" ref="D3:D11" si="0">ROUNDUP(F3/$F$12*$D$12,0)</f>
        <v>31975</v>
      </c>
      <c r="E3" s="203" t="s">
        <v>768</v>
      </c>
      <c r="F3">
        <v>14500</v>
      </c>
    </row>
    <row r="4" spans="1:6" x14ac:dyDescent="0.25">
      <c r="A4" s="8" t="s">
        <v>472</v>
      </c>
      <c r="B4" s="8" t="s">
        <v>487</v>
      </c>
      <c r="C4" s="8" t="s">
        <v>482</v>
      </c>
      <c r="D4" s="203">
        <f t="shared" si="0"/>
        <v>43000</v>
      </c>
      <c r="E4" s="203" t="s">
        <v>768</v>
      </c>
      <c r="F4">
        <v>19500</v>
      </c>
    </row>
    <row r="5" spans="1:6" x14ac:dyDescent="0.25">
      <c r="A5" s="8" t="s">
        <v>473</v>
      </c>
      <c r="B5" s="8" t="s">
        <v>487</v>
      </c>
      <c r="C5" s="8" t="s">
        <v>482</v>
      </c>
      <c r="D5" s="203">
        <f t="shared" si="0"/>
        <v>54026</v>
      </c>
      <c r="E5" s="203" t="s">
        <v>768</v>
      </c>
      <c r="F5">
        <v>24500</v>
      </c>
    </row>
    <row r="6" spans="1:6" x14ac:dyDescent="0.25">
      <c r="A6" s="8" t="s">
        <v>478</v>
      </c>
      <c r="B6" s="8" t="s">
        <v>487</v>
      </c>
      <c r="C6" s="8" t="s">
        <v>482</v>
      </c>
      <c r="D6" s="203">
        <f t="shared" si="0"/>
        <v>16980</v>
      </c>
      <c r="E6" s="203" t="s">
        <v>768</v>
      </c>
      <c r="F6">
        <v>7700</v>
      </c>
    </row>
    <row r="7" spans="1:6" x14ac:dyDescent="0.25">
      <c r="A7" s="8" t="s">
        <v>479</v>
      </c>
      <c r="B7" s="8" t="s">
        <v>487</v>
      </c>
      <c r="C7" s="8" t="s">
        <v>482</v>
      </c>
      <c r="D7" s="203">
        <f t="shared" si="0"/>
        <v>31975</v>
      </c>
      <c r="E7" s="203" t="s">
        <v>768</v>
      </c>
      <c r="F7">
        <v>14500</v>
      </c>
    </row>
    <row r="8" spans="1:6" x14ac:dyDescent="0.25">
      <c r="A8" s="8" t="s">
        <v>480</v>
      </c>
      <c r="B8" s="8" t="s">
        <v>487</v>
      </c>
      <c r="C8" s="8" t="s">
        <v>482</v>
      </c>
      <c r="D8" s="203">
        <f t="shared" si="0"/>
        <v>43000</v>
      </c>
      <c r="E8" s="203" t="s">
        <v>768</v>
      </c>
      <c r="F8">
        <v>19500</v>
      </c>
    </row>
    <row r="9" spans="1:6" x14ac:dyDescent="0.25">
      <c r="A9" s="8" t="s">
        <v>481</v>
      </c>
      <c r="B9" s="8" t="s">
        <v>487</v>
      </c>
      <c r="C9" s="8" t="s">
        <v>482</v>
      </c>
      <c r="D9" s="203">
        <f t="shared" si="0"/>
        <v>54026</v>
      </c>
      <c r="E9" s="203" t="s">
        <v>768</v>
      </c>
      <c r="F9">
        <v>24500</v>
      </c>
    </row>
    <row r="10" spans="1:6" x14ac:dyDescent="0.25">
      <c r="A10" s="8" t="s">
        <v>474</v>
      </c>
      <c r="B10" s="8" t="s">
        <v>487</v>
      </c>
      <c r="C10" s="8" t="s">
        <v>482</v>
      </c>
      <c r="D10" s="203">
        <f t="shared" si="0"/>
        <v>16980</v>
      </c>
      <c r="E10" s="203" t="s">
        <v>768</v>
      </c>
      <c r="F10">
        <v>7700</v>
      </c>
    </row>
    <row r="11" spans="1:6" x14ac:dyDescent="0.25">
      <c r="A11" s="8" t="s">
        <v>475</v>
      </c>
      <c r="B11" s="8" t="s">
        <v>487</v>
      </c>
      <c r="C11" s="8" t="s">
        <v>482</v>
      </c>
      <c r="D11" s="203">
        <f t="shared" si="0"/>
        <v>31975</v>
      </c>
      <c r="E11" s="203" t="s">
        <v>768</v>
      </c>
      <c r="F11">
        <v>14500</v>
      </c>
    </row>
    <row r="12" spans="1:6" x14ac:dyDescent="0.25">
      <c r="A12" s="8" t="s">
        <v>476</v>
      </c>
      <c r="B12" s="8" t="s">
        <v>487</v>
      </c>
      <c r="C12" s="8" t="s">
        <v>482</v>
      </c>
      <c r="D12" s="8">
        <v>43000</v>
      </c>
      <c r="E12" s="8" t="s">
        <v>483</v>
      </c>
      <c r="F12">
        <v>19500</v>
      </c>
    </row>
    <row r="13" spans="1:6" x14ac:dyDescent="0.25">
      <c r="A13" s="8" t="s">
        <v>477</v>
      </c>
      <c r="B13" s="8" t="s">
        <v>487</v>
      </c>
      <c r="C13" s="8" t="s">
        <v>482</v>
      </c>
      <c r="D13" s="203">
        <f>ROUNDUP(F13/$F$12*$D$12,0)</f>
        <v>54026</v>
      </c>
      <c r="E13" s="203" t="s">
        <v>768</v>
      </c>
      <c r="F13">
        <v>24500</v>
      </c>
    </row>
    <row r="14" spans="1:6" x14ac:dyDescent="0.25">
      <c r="A14" s="8" t="s">
        <v>470</v>
      </c>
      <c r="B14" s="8" t="s">
        <v>487</v>
      </c>
      <c r="C14" s="8" t="s">
        <v>484</v>
      </c>
      <c r="D14" s="203">
        <f>ROUNDUP(F14/$F$24*$D$24,0)</f>
        <v>1185</v>
      </c>
      <c r="E14" s="203" t="s">
        <v>768</v>
      </c>
      <c r="F14">
        <v>7700</v>
      </c>
    </row>
    <row r="15" spans="1:6" x14ac:dyDescent="0.25">
      <c r="A15" s="8" t="s">
        <v>471</v>
      </c>
      <c r="B15" s="8" t="s">
        <v>487</v>
      </c>
      <c r="C15" s="8" t="s">
        <v>484</v>
      </c>
      <c r="D15" s="203">
        <f t="shared" ref="D15:D25" si="1">ROUNDUP(F15/$F$24*$D$24,0)</f>
        <v>2231</v>
      </c>
      <c r="E15" s="203" t="s">
        <v>768</v>
      </c>
      <c r="F15">
        <v>14500</v>
      </c>
    </row>
    <row r="16" spans="1:6" x14ac:dyDescent="0.25">
      <c r="A16" s="8" t="s">
        <v>472</v>
      </c>
      <c r="B16" s="8" t="s">
        <v>487</v>
      </c>
      <c r="C16" s="8" t="s">
        <v>484</v>
      </c>
      <c r="D16" s="203">
        <f t="shared" si="1"/>
        <v>3000</v>
      </c>
      <c r="E16" s="203" t="s">
        <v>768</v>
      </c>
      <c r="F16">
        <v>19500</v>
      </c>
    </row>
    <row r="17" spans="1:6" x14ac:dyDescent="0.25">
      <c r="A17" s="8" t="s">
        <v>473</v>
      </c>
      <c r="B17" s="8" t="s">
        <v>487</v>
      </c>
      <c r="C17" s="8" t="s">
        <v>484</v>
      </c>
      <c r="D17" s="203">
        <f t="shared" si="1"/>
        <v>3770</v>
      </c>
      <c r="E17" s="203" t="s">
        <v>768</v>
      </c>
      <c r="F17">
        <v>24500</v>
      </c>
    </row>
    <row r="18" spans="1:6" x14ac:dyDescent="0.25">
      <c r="A18" s="8" t="s">
        <v>478</v>
      </c>
      <c r="B18" s="8" t="s">
        <v>487</v>
      </c>
      <c r="C18" s="8" t="s">
        <v>484</v>
      </c>
      <c r="D18" s="203">
        <f t="shared" si="1"/>
        <v>1185</v>
      </c>
      <c r="E18" s="203" t="s">
        <v>768</v>
      </c>
      <c r="F18">
        <v>7700</v>
      </c>
    </row>
    <row r="19" spans="1:6" x14ac:dyDescent="0.25">
      <c r="A19" s="8" t="s">
        <v>479</v>
      </c>
      <c r="B19" s="8" t="s">
        <v>487</v>
      </c>
      <c r="C19" s="8" t="s">
        <v>484</v>
      </c>
      <c r="D19" s="203">
        <f t="shared" si="1"/>
        <v>2231</v>
      </c>
      <c r="E19" s="203" t="s">
        <v>768</v>
      </c>
      <c r="F19">
        <v>14500</v>
      </c>
    </row>
    <row r="20" spans="1:6" x14ac:dyDescent="0.25">
      <c r="A20" s="8" t="s">
        <v>480</v>
      </c>
      <c r="B20" s="8" t="s">
        <v>487</v>
      </c>
      <c r="C20" s="8" t="s">
        <v>484</v>
      </c>
      <c r="D20" s="203">
        <f t="shared" si="1"/>
        <v>3000</v>
      </c>
      <c r="E20" s="203" t="s">
        <v>768</v>
      </c>
      <c r="F20">
        <v>19500</v>
      </c>
    </row>
    <row r="21" spans="1:6" x14ac:dyDescent="0.25">
      <c r="A21" s="8" t="s">
        <v>481</v>
      </c>
      <c r="B21" s="8" t="s">
        <v>487</v>
      </c>
      <c r="C21" s="8" t="s">
        <v>484</v>
      </c>
      <c r="D21" s="203">
        <f t="shared" si="1"/>
        <v>3770</v>
      </c>
      <c r="E21" s="203" t="s">
        <v>768</v>
      </c>
      <c r="F21">
        <v>24500</v>
      </c>
    </row>
    <row r="22" spans="1:6" x14ac:dyDescent="0.25">
      <c r="A22" s="8" t="s">
        <v>474</v>
      </c>
      <c r="B22" s="8" t="s">
        <v>487</v>
      </c>
      <c r="C22" s="8" t="s">
        <v>484</v>
      </c>
      <c r="D22" s="203">
        <f t="shared" si="1"/>
        <v>1185</v>
      </c>
      <c r="E22" s="203" t="s">
        <v>768</v>
      </c>
      <c r="F22">
        <v>7700</v>
      </c>
    </row>
    <row r="23" spans="1:6" x14ac:dyDescent="0.25">
      <c r="A23" s="8" t="s">
        <v>475</v>
      </c>
      <c r="B23" s="8" t="s">
        <v>487</v>
      </c>
      <c r="C23" s="8" t="s">
        <v>484</v>
      </c>
      <c r="D23" s="203">
        <f t="shared" si="1"/>
        <v>2231</v>
      </c>
      <c r="E23" s="203" t="s">
        <v>768</v>
      </c>
      <c r="F23">
        <v>14500</v>
      </c>
    </row>
    <row r="24" spans="1:6" x14ac:dyDescent="0.25">
      <c r="A24" s="8" t="s">
        <v>476</v>
      </c>
      <c r="B24" s="8" t="s">
        <v>487</v>
      </c>
      <c r="C24" s="8" t="s">
        <v>484</v>
      </c>
      <c r="D24" s="8">
        <v>3000</v>
      </c>
      <c r="E24" s="8" t="s">
        <v>483</v>
      </c>
      <c r="F24">
        <v>19500</v>
      </c>
    </row>
    <row r="25" spans="1:6" x14ac:dyDescent="0.25">
      <c r="A25" s="8" t="s">
        <v>477</v>
      </c>
      <c r="B25" s="8" t="s">
        <v>487</v>
      </c>
      <c r="C25" s="8" t="s">
        <v>484</v>
      </c>
      <c r="D25" s="203">
        <f t="shared" si="1"/>
        <v>3770</v>
      </c>
      <c r="E25" s="203" t="s">
        <v>768</v>
      </c>
      <c r="F25">
        <v>24500</v>
      </c>
    </row>
    <row r="26" spans="1:6" x14ac:dyDescent="0.25">
      <c r="A26" s="8" t="s">
        <v>470</v>
      </c>
      <c r="B26" s="8" t="s">
        <v>486</v>
      </c>
      <c r="C26" s="8" t="s">
        <v>482</v>
      </c>
      <c r="D26" s="203">
        <f>ROUNDUP(F26/$F$36*$D$36,0)</f>
        <v>42565</v>
      </c>
      <c r="E26" s="203" t="s">
        <v>768</v>
      </c>
      <c r="F26">
        <v>10000</v>
      </c>
    </row>
    <row r="27" spans="1:6" x14ac:dyDescent="0.25">
      <c r="A27" s="8" t="s">
        <v>471</v>
      </c>
      <c r="B27" s="8" t="s">
        <v>486</v>
      </c>
      <c r="C27" s="8" t="s">
        <v>482</v>
      </c>
      <c r="D27" s="203">
        <f t="shared" ref="D27:D37" si="2">ROUNDUP(F27/$F$36*$D$36,0)</f>
        <v>68103</v>
      </c>
      <c r="E27" s="203" t="s">
        <v>768</v>
      </c>
      <c r="F27">
        <v>16000</v>
      </c>
    </row>
    <row r="28" spans="1:6" x14ac:dyDescent="0.25">
      <c r="A28" s="8" t="s">
        <v>472</v>
      </c>
      <c r="B28" s="8" t="s">
        <v>486</v>
      </c>
      <c r="C28" s="8" t="s">
        <v>482</v>
      </c>
      <c r="D28" s="203">
        <f t="shared" si="2"/>
        <v>83000</v>
      </c>
      <c r="E28" s="203" t="s">
        <v>768</v>
      </c>
      <c r="F28">
        <v>19500</v>
      </c>
    </row>
    <row r="29" spans="1:6" x14ac:dyDescent="0.25">
      <c r="A29" s="8" t="s">
        <v>473</v>
      </c>
      <c r="B29" s="8" t="s">
        <v>486</v>
      </c>
      <c r="C29" s="8" t="s">
        <v>482</v>
      </c>
      <c r="D29" s="203">
        <f t="shared" si="2"/>
        <v>104283</v>
      </c>
      <c r="E29" s="203" t="s">
        <v>768</v>
      </c>
      <c r="F29">
        <v>24500</v>
      </c>
    </row>
    <row r="30" spans="1:6" x14ac:dyDescent="0.25">
      <c r="A30" s="8" t="s">
        <v>478</v>
      </c>
      <c r="B30" s="8" t="s">
        <v>486</v>
      </c>
      <c r="C30" s="8" t="s">
        <v>482</v>
      </c>
      <c r="D30" s="203">
        <f t="shared" si="2"/>
        <v>42565</v>
      </c>
      <c r="E30" s="203" t="s">
        <v>768</v>
      </c>
      <c r="F30">
        <v>10000</v>
      </c>
    </row>
    <row r="31" spans="1:6" x14ac:dyDescent="0.25">
      <c r="A31" s="8" t="s">
        <v>479</v>
      </c>
      <c r="B31" s="8" t="s">
        <v>486</v>
      </c>
      <c r="C31" s="8" t="s">
        <v>482</v>
      </c>
      <c r="D31" s="203">
        <f t="shared" si="2"/>
        <v>68103</v>
      </c>
      <c r="E31" s="203" t="s">
        <v>768</v>
      </c>
      <c r="F31">
        <v>16000</v>
      </c>
    </row>
    <row r="32" spans="1:6" x14ac:dyDescent="0.25">
      <c r="A32" s="8" t="s">
        <v>480</v>
      </c>
      <c r="B32" s="8" t="s">
        <v>486</v>
      </c>
      <c r="C32" s="8" t="s">
        <v>482</v>
      </c>
      <c r="D32" s="203">
        <f t="shared" si="2"/>
        <v>83000</v>
      </c>
      <c r="E32" s="203" t="s">
        <v>768</v>
      </c>
      <c r="F32">
        <v>19500</v>
      </c>
    </row>
    <row r="33" spans="1:6" x14ac:dyDescent="0.25">
      <c r="A33" s="8" t="s">
        <v>481</v>
      </c>
      <c r="B33" s="8" t="s">
        <v>486</v>
      </c>
      <c r="C33" s="8" t="s">
        <v>482</v>
      </c>
      <c r="D33" s="203">
        <f t="shared" si="2"/>
        <v>104283</v>
      </c>
      <c r="E33" s="203" t="s">
        <v>768</v>
      </c>
      <c r="F33">
        <v>24500</v>
      </c>
    </row>
    <row r="34" spans="1:6" x14ac:dyDescent="0.25">
      <c r="A34" s="8" t="s">
        <v>474</v>
      </c>
      <c r="B34" s="8" t="s">
        <v>486</v>
      </c>
      <c r="C34" s="8" t="s">
        <v>482</v>
      </c>
      <c r="D34" s="203">
        <f t="shared" si="2"/>
        <v>42565</v>
      </c>
      <c r="E34" s="203" t="s">
        <v>768</v>
      </c>
      <c r="F34">
        <v>10000</v>
      </c>
    </row>
    <row r="35" spans="1:6" x14ac:dyDescent="0.25">
      <c r="A35" s="8" t="s">
        <v>475</v>
      </c>
      <c r="B35" s="8" t="s">
        <v>486</v>
      </c>
      <c r="C35" s="8" t="s">
        <v>482</v>
      </c>
      <c r="D35" s="203">
        <f t="shared" si="2"/>
        <v>68103</v>
      </c>
      <c r="E35" s="203" t="s">
        <v>768</v>
      </c>
      <c r="F35">
        <v>16000</v>
      </c>
    </row>
    <row r="36" spans="1:6" x14ac:dyDescent="0.25">
      <c r="A36" s="8" t="s">
        <v>476</v>
      </c>
      <c r="B36" s="8" t="s">
        <v>486</v>
      </c>
      <c r="C36" s="8" t="s">
        <v>482</v>
      </c>
      <c r="D36" s="8">
        <v>83000</v>
      </c>
      <c r="E36" s="203" t="s">
        <v>483</v>
      </c>
      <c r="F36">
        <v>19500</v>
      </c>
    </row>
    <row r="37" spans="1:6" x14ac:dyDescent="0.25">
      <c r="A37" s="8" t="s">
        <v>477</v>
      </c>
      <c r="B37" s="8" t="s">
        <v>486</v>
      </c>
      <c r="C37" s="8" t="s">
        <v>482</v>
      </c>
      <c r="D37" s="203">
        <f t="shared" si="2"/>
        <v>104283</v>
      </c>
      <c r="E37" s="203" t="s">
        <v>768</v>
      </c>
      <c r="F37">
        <v>24500</v>
      </c>
    </row>
    <row r="38" spans="1:6" x14ac:dyDescent="0.25">
      <c r="A38" s="8" t="s">
        <v>470</v>
      </c>
      <c r="B38" s="8" t="s">
        <v>486</v>
      </c>
      <c r="C38" s="8" t="s">
        <v>484</v>
      </c>
      <c r="D38" s="203">
        <f>ROUNDUP(F38/$F$48*$D$48,0)</f>
        <v>1539</v>
      </c>
      <c r="E38" s="203" t="s">
        <v>768</v>
      </c>
      <c r="F38">
        <v>10000</v>
      </c>
    </row>
    <row r="39" spans="1:6" x14ac:dyDescent="0.25">
      <c r="A39" s="8" t="s">
        <v>471</v>
      </c>
      <c r="B39" s="8" t="s">
        <v>486</v>
      </c>
      <c r="C39" s="8" t="s">
        <v>484</v>
      </c>
      <c r="D39" s="203">
        <f t="shared" ref="D39:D49" si="3">ROUNDUP(F39/$F$48*$D$48,0)</f>
        <v>2462</v>
      </c>
      <c r="E39" s="203" t="s">
        <v>768</v>
      </c>
      <c r="F39">
        <v>16000</v>
      </c>
    </row>
    <row r="40" spans="1:6" x14ac:dyDescent="0.25">
      <c r="A40" s="8" t="s">
        <v>472</v>
      </c>
      <c r="B40" s="8" t="s">
        <v>486</v>
      </c>
      <c r="C40" s="8" t="s">
        <v>484</v>
      </c>
      <c r="D40" s="203">
        <f t="shared" si="3"/>
        <v>3000</v>
      </c>
      <c r="E40" s="203" t="s">
        <v>768</v>
      </c>
      <c r="F40">
        <v>19500</v>
      </c>
    </row>
    <row r="41" spans="1:6" x14ac:dyDescent="0.25">
      <c r="A41" s="8" t="s">
        <v>473</v>
      </c>
      <c r="B41" s="8" t="s">
        <v>486</v>
      </c>
      <c r="C41" s="8" t="s">
        <v>484</v>
      </c>
      <c r="D41" s="203">
        <f t="shared" si="3"/>
        <v>3770</v>
      </c>
      <c r="E41" s="203" t="s">
        <v>768</v>
      </c>
      <c r="F41">
        <v>24500</v>
      </c>
    </row>
    <row r="42" spans="1:6" x14ac:dyDescent="0.25">
      <c r="A42" s="8" t="s">
        <v>478</v>
      </c>
      <c r="B42" s="8" t="s">
        <v>486</v>
      </c>
      <c r="C42" s="8" t="s">
        <v>484</v>
      </c>
      <c r="D42" s="203">
        <f t="shared" si="3"/>
        <v>1539</v>
      </c>
      <c r="E42" s="203" t="s">
        <v>768</v>
      </c>
      <c r="F42">
        <v>10000</v>
      </c>
    </row>
    <row r="43" spans="1:6" x14ac:dyDescent="0.25">
      <c r="A43" s="8" t="s">
        <v>479</v>
      </c>
      <c r="B43" s="8" t="s">
        <v>486</v>
      </c>
      <c r="C43" s="8" t="s">
        <v>484</v>
      </c>
      <c r="D43" s="203">
        <f t="shared" si="3"/>
        <v>2462</v>
      </c>
      <c r="E43" s="203" t="s">
        <v>768</v>
      </c>
      <c r="F43">
        <v>16000</v>
      </c>
    </row>
    <row r="44" spans="1:6" x14ac:dyDescent="0.25">
      <c r="A44" s="8" t="s">
        <v>480</v>
      </c>
      <c r="B44" s="8" t="s">
        <v>486</v>
      </c>
      <c r="C44" s="8" t="s">
        <v>484</v>
      </c>
      <c r="D44" s="203">
        <f t="shared" si="3"/>
        <v>3000</v>
      </c>
      <c r="E44" s="203" t="s">
        <v>768</v>
      </c>
      <c r="F44">
        <v>19500</v>
      </c>
    </row>
    <row r="45" spans="1:6" x14ac:dyDescent="0.25">
      <c r="A45" s="8" t="s">
        <v>481</v>
      </c>
      <c r="B45" s="8" t="s">
        <v>486</v>
      </c>
      <c r="C45" s="8" t="s">
        <v>484</v>
      </c>
      <c r="D45" s="203">
        <f t="shared" si="3"/>
        <v>3770</v>
      </c>
      <c r="E45" s="203" t="s">
        <v>768</v>
      </c>
      <c r="F45">
        <v>24500</v>
      </c>
    </row>
    <row r="46" spans="1:6" x14ac:dyDescent="0.25">
      <c r="A46" s="8" t="s">
        <v>474</v>
      </c>
      <c r="B46" s="8" t="s">
        <v>486</v>
      </c>
      <c r="C46" s="8" t="s">
        <v>484</v>
      </c>
      <c r="D46" s="203">
        <f t="shared" si="3"/>
        <v>1539</v>
      </c>
      <c r="E46" s="203" t="s">
        <v>768</v>
      </c>
      <c r="F46">
        <v>10000</v>
      </c>
    </row>
    <row r="47" spans="1:6" x14ac:dyDescent="0.25">
      <c r="A47" s="8" t="s">
        <v>475</v>
      </c>
      <c r="B47" s="8" t="s">
        <v>486</v>
      </c>
      <c r="C47" s="8" t="s">
        <v>484</v>
      </c>
      <c r="D47" s="203">
        <f t="shared" si="3"/>
        <v>2462</v>
      </c>
      <c r="E47" s="203" t="s">
        <v>768</v>
      </c>
      <c r="F47">
        <v>16000</v>
      </c>
    </row>
    <row r="48" spans="1:6" x14ac:dyDescent="0.25">
      <c r="A48" s="8" t="s">
        <v>476</v>
      </c>
      <c r="B48" s="8" t="s">
        <v>486</v>
      </c>
      <c r="C48" s="8" t="s">
        <v>484</v>
      </c>
      <c r="D48" s="8">
        <v>3000</v>
      </c>
      <c r="E48" s="203" t="s">
        <v>483</v>
      </c>
      <c r="F48">
        <v>19500</v>
      </c>
    </row>
    <row r="49" spans="1:10" x14ac:dyDescent="0.25">
      <c r="A49" s="8" t="s">
        <v>477</v>
      </c>
      <c r="B49" s="8" t="s">
        <v>486</v>
      </c>
      <c r="C49" s="8" t="s">
        <v>484</v>
      </c>
      <c r="D49" s="203">
        <f t="shared" si="3"/>
        <v>3770</v>
      </c>
      <c r="E49" s="203" t="s">
        <v>768</v>
      </c>
      <c r="F49">
        <v>24500</v>
      </c>
    </row>
    <row r="50" spans="1:10" x14ac:dyDescent="0.25">
      <c r="A50" s="8" t="s">
        <v>803</v>
      </c>
      <c r="B50" s="8" t="s">
        <v>487</v>
      </c>
      <c r="C50" s="209" t="s">
        <v>482</v>
      </c>
      <c r="D50" s="227">
        <v>11160</v>
      </c>
      <c r="E50" s="227" t="s">
        <v>805</v>
      </c>
      <c r="F50" s="228">
        <v>1670</v>
      </c>
      <c r="I50" s="227">
        <f>6100+11.1*'PAG100 FE GE'!D4</f>
        <v>9041.5</v>
      </c>
      <c r="J50" s="227" t="s">
        <v>483</v>
      </c>
    </row>
    <row r="51" spans="1:10" x14ac:dyDescent="0.25">
      <c r="A51" s="209" t="s">
        <v>803</v>
      </c>
      <c r="B51" s="8" t="s">
        <v>804</v>
      </c>
      <c r="C51" s="209" t="s">
        <v>482</v>
      </c>
      <c r="D51" s="227">
        <v>10536</v>
      </c>
      <c r="E51" s="227" t="s">
        <v>805</v>
      </c>
      <c r="F51" s="228">
        <v>1550</v>
      </c>
    </row>
    <row r="52" spans="1:10" x14ac:dyDescent="0.25">
      <c r="A52" s="209" t="s">
        <v>803</v>
      </c>
      <c r="B52" s="209" t="s">
        <v>487</v>
      </c>
      <c r="C52" s="209" t="s">
        <v>484</v>
      </c>
      <c r="D52" s="227">
        <f>300+0.2*'PAG100 FE GE'!D4</f>
        <v>353</v>
      </c>
      <c r="E52" s="227" t="s">
        <v>483</v>
      </c>
      <c r="F52" s="228">
        <v>1670</v>
      </c>
      <c r="I52" s="228">
        <f>300+0.2*'PAG100 FE GE'!D4</f>
        <v>353</v>
      </c>
      <c r="J52" s="227" t="s">
        <v>483</v>
      </c>
    </row>
    <row r="53" spans="1:10" x14ac:dyDescent="0.25">
      <c r="A53" s="209" t="s">
        <v>803</v>
      </c>
      <c r="B53" s="209" t="s">
        <v>804</v>
      </c>
      <c r="C53" s="209" t="s">
        <v>484</v>
      </c>
      <c r="D53" s="227">
        <f>ROUNDUP(F53/$F$52*$D$52,0)</f>
        <v>328</v>
      </c>
      <c r="E53" s="227" t="s">
        <v>768</v>
      </c>
      <c r="F53" s="228">
        <v>1550</v>
      </c>
    </row>
  </sheetData>
  <pageMargins left="0.7" right="0.7" top="0.75" bottom="0.75" header="0.3" footer="0.3"/>
  <customProperties>
    <customPr name="GUID" r:id="rId1"/>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7"/>
  <dimension ref="A1:N67"/>
  <sheetViews>
    <sheetView zoomScale="55" zoomScaleNormal="55" workbookViewId="0">
      <selection activeCell="F2" sqref="F2"/>
    </sheetView>
  </sheetViews>
  <sheetFormatPr defaultRowHeight="15" x14ac:dyDescent="0.25"/>
  <cols>
    <col min="1" max="1" width="34.7109375" style="248" customWidth="1"/>
    <col min="2" max="2" width="86" style="248" bestFit="1" customWidth="1"/>
    <col min="3" max="3" width="17" style="248" customWidth="1"/>
    <col min="4" max="4" width="40.5703125" style="248" customWidth="1"/>
    <col min="5" max="5" width="74.5703125" bestFit="1" customWidth="1"/>
    <col min="6" max="6" width="24.7109375" customWidth="1"/>
    <col min="7" max="7" width="15.28515625" customWidth="1"/>
    <col min="8" max="8" width="13" customWidth="1"/>
    <col min="9" max="9" width="13.140625" customWidth="1"/>
    <col min="12" max="12" width="14.28515625" customWidth="1"/>
    <col min="13" max="13" width="16.85546875" customWidth="1"/>
    <col min="14" max="15" width="14.28515625" customWidth="1"/>
    <col min="16" max="16" width="16.5703125" customWidth="1"/>
    <col min="17" max="18" width="14.28515625" customWidth="1"/>
    <col min="19" max="19" width="15.85546875" customWidth="1"/>
  </cols>
  <sheetData>
    <row r="1" spans="1:7" x14ac:dyDescent="0.25">
      <c r="A1" s="248" t="s">
        <v>414</v>
      </c>
      <c r="B1" s="248" t="s">
        <v>491</v>
      </c>
      <c r="C1" s="248" t="s">
        <v>492</v>
      </c>
      <c r="D1" s="248" t="s">
        <v>493</v>
      </c>
      <c r="E1" s="248" t="s">
        <v>636</v>
      </c>
      <c r="F1" s="248" t="s">
        <v>566</v>
      </c>
      <c r="G1" s="248" t="s">
        <v>797</v>
      </c>
    </row>
    <row r="2" spans="1:7" x14ac:dyDescent="0.25">
      <c r="A2" s="248" t="s">
        <v>488</v>
      </c>
      <c r="B2" s="248" t="s">
        <v>490</v>
      </c>
      <c r="C2" s="248">
        <v>2230</v>
      </c>
      <c r="D2" s="248" t="s">
        <v>816</v>
      </c>
      <c r="E2" s="248">
        <v>24</v>
      </c>
      <c r="F2" s="140">
        <f>C2/(E2*(22*11-6))</f>
        <v>0.39371468926553671</v>
      </c>
      <c r="G2" s="248">
        <f>22*11-6</f>
        <v>236</v>
      </c>
    </row>
    <row r="3" spans="1:7" x14ac:dyDescent="0.25">
      <c r="A3" s="248" t="s">
        <v>488</v>
      </c>
      <c r="B3" s="248" t="s">
        <v>490</v>
      </c>
      <c r="C3" s="248">
        <v>1650</v>
      </c>
      <c r="D3" s="248" t="s">
        <v>800</v>
      </c>
      <c r="E3" s="248">
        <v>26</v>
      </c>
      <c r="F3" s="140">
        <f t="shared" ref="F3:F5" si="0">C3/(E3*(22*11-6))</f>
        <v>0.26890482398956977</v>
      </c>
      <c r="G3" s="248">
        <f t="shared" ref="G3:G11" si="1">22*11-6</f>
        <v>236</v>
      </c>
    </row>
    <row r="4" spans="1:7" x14ac:dyDescent="0.25">
      <c r="A4" s="248" t="s">
        <v>488</v>
      </c>
      <c r="B4" s="248" t="s">
        <v>490</v>
      </c>
      <c r="C4" s="248">
        <v>1290</v>
      </c>
      <c r="D4" s="248" t="s">
        <v>801</v>
      </c>
      <c r="E4" s="248">
        <v>25</v>
      </c>
      <c r="F4" s="140">
        <f t="shared" si="0"/>
        <v>0.21864406779661016</v>
      </c>
      <c r="G4" s="248">
        <f t="shared" si="1"/>
        <v>236</v>
      </c>
    </row>
    <row r="5" spans="1:7" x14ac:dyDescent="0.25">
      <c r="A5" s="248" t="s">
        <v>488</v>
      </c>
      <c r="B5" s="248" t="s">
        <v>490</v>
      </c>
      <c r="C5" s="248">
        <v>2370</v>
      </c>
      <c r="D5" s="248" t="s">
        <v>802</v>
      </c>
      <c r="E5" s="248">
        <v>28</v>
      </c>
      <c r="F5" s="140">
        <f t="shared" si="0"/>
        <v>0.35865617433414043</v>
      </c>
      <c r="G5" s="248">
        <f t="shared" si="1"/>
        <v>236</v>
      </c>
    </row>
    <row r="6" spans="1:7" x14ac:dyDescent="0.25">
      <c r="A6" s="248" t="s">
        <v>488</v>
      </c>
      <c r="B6" s="248" t="s">
        <v>490</v>
      </c>
      <c r="C6" s="197">
        <f>(22*11-6)*E6*F6</f>
        <v>1828.8816391941391</v>
      </c>
      <c r="D6" s="248" t="s">
        <v>798</v>
      </c>
      <c r="E6" s="248">
        <v>25</v>
      </c>
      <c r="F6" s="140">
        <f>AVERAGE(F2:F5)</f>
        <v>0.30997993884646424</v>
      </c>
      <c r="G6" s="248">
        <f t="shared" si="1"/>
        <v>236</v>
      </c>
    </row>
    <row r="7" spans="1:7" x14ac:dyDescent="0.25">
      <c r="A7" s="248" t="s">
        <v>488</v>
      </c>
      <c r="B7" s="248" t="s">
        <v>490</v>
      </c>
      <c r="C7" s="248">
        <v>0</v>
      </c>
      <c r="D7" s="248" t="s">
        <v>799</v>
      </c>
      <c r="E7" s="248">
        <v>0</v>
      </c>
      <c r="F7" s="140">
        <v>0</v>
      </c>
      <c r="G7" s="248">
        <f t="shared" si="1"/>
        <v>236</v>
      </c>
    </row>
    <row r="8" spans="1:7" x14ac:dyDescent="0.25">
      <c r="A8" s="248" t="s">
        <v>854</v>
      </c>
      <c r="B8" s="248" t="s">
        <v>490</v>
      </c>
      <c r="C8" s="250">
        <f>+E8*(22*11-6)*G30</f>
        <v>526.39185986351652</v>
      </c>
      <c r="D8" s="248" t="str">
        <f>+G33&amp;" PT: APA Calculadora 2024"</f>
        <v>Universal PT: APA Calculadora 2024</v>
      </c>
      <c r="E8" s="248">
        <f>G32</f>
        <v>26</v>
      </c>
      <c r="F8" s="140">
        <f>C8/(E8*(22*11-6))</f>
        <v>8.578746086432798E-2</v>
      </c>
      <c r="G8" s="248">
        <f t="shared" si="1"/>
        <v>236</v>
      </c>
    </row>
    <row r="9" spans="1:7" x14ac:dyDescent="0.25">
      <c r="A9" s="248" t="s">
        <v>854</v>
      </c>
      <c r="B9" s="248" t="s">
        <v>490</v>
      </c>
      <c r="C9" s="250">
        <f>+E9*(22*11-6)*H30</f>
        <v>492.96526309479009</v>
      </c>
      <c r="D9" s="248" t="str">
        <f>+H33&amp;" PT: APA Calculadora 2024"</f>
        <v>AMLP PT: APA Calculadora 2024</v>
      </c>
      <c r="E9" s="248">
        <f>H32</f>
        <v>24</v>
      </c>
      <c r="F9" s="140">
        <f t="shared" ref="F9" si="2">C9/(E9*(22*11-6))</f>
        <v>8.7034827523797681E-2</v>
      </c>
      <c r="G9" s="248">
        <f t="shared" si="1"/>
        <v>236</v>
      </c>
    </row>
    <row r="10" spans="1:7" x14ac:dyDescent="0.25">
      <c r="A10" s="248" t="s">
        <v>854</v>
      </c>
      <c r="B10" s="248" t="s">
        <v>490</v>
      </c>
      <c r="C10" s="250">
        <f>+E10*(22*11-6)*I30</f>
        <v>566.62734307221706</v>
      </c>
      <c r="D10" s="248" t="str">
        <f>+I33&amp;" PT: APA Calculadora 2024"</f>
        <v>Resto PT PT: APA Calculadora 2024</v>
      </c>
      <c r="E10" s="248">
        <f>I32</f>
        <v>28</v>
      </c>
      <c r="F10" s="140">
        <f>C10/(E10*(22*11-6))</f>
        <v>8.5748689932236236E-2</v>
      </c>
      <c r="G10" s="248">
        <f t="shared" si="1"/>
        <v>236</v>
      </c>
    </row>
    <row r="11" spans="1:7" x14ac:dyDescent="0.25">
      <c r="A11" s="248" t="s">
        <v>854</v>
      </c>
      <c r="B11" s="248" t="s">
        <v>490</v>
      </c>
      <c r="C11" s="250">
        <f>+E11*(22*11-6)*C31</f>
        <v>634.18193384760002</v>
      </c>
      <c r="D11" s="248" t="s">
        <v>1290</v>
      </c>
      <c r="E11" s="248">
        <f>C30*2</f>
        <v>30</v>
      </c>
      <c r="F11" s="140">
        <f t="shared" ref="F11" si="3">C11/(E11*(22*11-6))</f>
        <v>8.9573719470000007E-2</v>
      </c>
      <c r="G11" s="248">
        <f t="shared" si="1"/>
        <v>236</v>
      </c>
    </row>
    <row r="21" spans="1:10" ht="15.75" x14ac:dyDescent="0.25">
      <c r="A21" s="255" t="s">
        <v>825</v>
      </c>
      <c r="B21" s="256" t="s">
        <v>826</v>
      </c>
      <c r="C21" s="255" t="s">
        <v>827</v>
      </c>
      <c r="D21" s="255" t="s">
        <v>489</v>
      </c>
      <c r="E21" s="255" t="s">
        <v>415</v>
      </c>
    </row>
    <row r="22" spans="1:10" ht="15.75" x14ac:dyDescent="0.25">
      <c r="A22" s="257" t="s">
        <v>828</v>
      </c>
      <c r="B22" s="258" t="s">
        <v>829</v>
      </c>
      <c r="C22" s="387">
        <v>0.47899999999999998</v>
      </c>
      <c r="D22" s="338" t="s">
        <v>830</v>
      </c>
      <c r="E22" s="257" t="s">
        <v>831</v>
      </c>
    </row>
    <row r="23" spans="1:10" ht="15.75" x14ac:dyDescent="0.25">
      <c r="A23" s="257" t="s">
        <v>832</v>
      </c>
      <c r="B23" s="258" t="s">
        <v>833</v>
      </c>
      <c r="C23" s="387">
        <v>0.18099999999999999</v>
      </c>
      <c r="D23" s="338" t="s">
        <v>830</v>
      </c>
      <c r="E23" s="257" t="s">
        <v>831</v>
      </c>
    </row>
    <row r="24" spans="1:10" ht="15.75" x14ac:dyDescent="0.25">
      <c r="A24" s="257" t="s">
        <v>834</v>
      </c>
      <c r="B24" s="258" t="s">
        <v>835</v>
      </c>
      <c r="C24" s="387">
        <v>0.1229</v>
      </c>
      <c r="D24" s="338" t="s">
        <v>830</v>
      </c>
      <c r="E24" s="257" t="s">
        <v>831</v>
      </c>
    </row>
    <row r="25" spans="1:10" ht="15.75" x14ac:dyDescent="0.25">
      <c r="A25" s="257" t="s">
        <v>836</v>
      </c>
      <c r="B25" s="258" t="s">
        <v>837</v>
      </c>
      <c r="C25" s="387">
        <v>0.21710000000000002</v>
      </c>
      <c r="D25" s="338" t="s">
        <v>830</v>
      </c>
      <c r="E25" s="257" t="s">
        <v>831</v>
      </c>
    </row>
    <row r="26" spans="1:10" ht="15.75" x14ac:dyDescent="0.25">
      <c r="A26" s="257" t="s">
        <v>838</v>
      </c>
      <c r="B26" s="258" t="s">
        <v>839</v>
      </c>
      <c r="C26" s="388">
        <v>0.123303125</v>
      </c>
      <c r="D26" s="338" t="s">
        <v>840</v>
      </c>
      <c r="E26" s="257" t="s">
        <v>841</v>
      </c>
    </row>
    <row r="27" spans="1:10" ht="15.75" x14ac:dyDescent="0.25">
      <c r="A27" s="257" t="s">
        <v>842</v>
      </c>
      <c r="B27" s="258" t="s">
        <v>843</v>
      </c>
      <c r="C27" s="388">
        <v>0.123303125</v>
      </c>
      <c r="D27" s="338" t="s">
        <v>840</v>
      </c>
      <c r="E27" s="257" t="s">
        <v>841</v>
      </c>
    </row>
    <row r="28" spans="1:10" ht="31.5" x14ac:dyDescent="0.25">
      <c r="A28" s="257" t="s">
        <v>844</v>
      </c>
      <c r="B28" s="258" t="s">
        <v>845</v>
      </c>
      <c r="C28" s="388">
        <v>6.6669300000000001E-2</v>
      </c>
      <c r="D28" s="338" t="s">
        <v>840</v>
      </c>
      <c r="E28" s="261" t="s">
        <v>846</v>
      </c>
    </row>
    <row r="29" spans="1:10" ht="15.75" x14ac:dyDescent="0.25">
      <c r="A29" s="257" t="s">
        <v>847</v>
      </c>
      <c r="B29" s="258" t="s">
        <v>848</v>
      </c>
      <c r="C29" s="338">
        <v>0</v>
      </c>
      <c r="D29" s="338" t="s">
        <v>840</v>
      </c>
      <c r="E29" s="257" t="s">
        <v>849</v>
      </c>
    </row>
    <row r="30" spans="1:10" ht="15.75" x14ac:dyDescent="0.25">
      <c r="A30" s="257" t="s">
        <v>850</v>
      </c>
      <c r="B30" s="258" t="s">
        <v>851</v>
      </c>
      <c r="C30" s="389">
        <v>15</v>
      </c>
      <c r="D30" s="338" t="s">
        <v>852</v>
      </c>
      <c r="E30" s="257" t="s">
        <v>853</v>
      </c>
      <c r="G30" s="394">
        <f>$C22*G41+$C23*G41+$C24*G31+$C25*$C29</f>
        <v>8.578746086432798E-2</v>
      </c>
      <c r="H30" s="394">
        <f>$C22*H41+$C23*H41+$C24*H31+$C25*$C29</f>
        <v>8.7034827523797681E-2</v>
      </c>
      <c r="I30" s="394">
        <f>$C22*I41+$C23*I41+$C24*I31+$C25*$C29</f>
        <v>8.5748689932236236E-2</v>
      </c>
      <c r="J30" s="248"/>
    </row>
    <row r="31" spans="1:10" x14ac:dyDescent="0.25">
      <c r="C31" s="394">
        <f>$C22*C26+$C23*C27+$C24*C28+$C25*$C29</f>
        <v>8.9573719470000007E-2</v>
      </c>
      <c r="G31" s="263">
        <f>+$M$46*$J$46/G36*G34+$M$47*$J$47/G36*G35+$M$59*G38+$M$60*G39+$M$67*G40+$M$58*G37</f>
        <v>3.1817775319999998E-2</v>
      </c>
      <c r="H31" s="263">
        <f t="shared" ref="H31:I31" si="4">+$M$46*$J$46/H36*H34+$M$47*$J$47/H36*H35+$M$59*H38+$M$60*H39+$M$67*H40+$M$58*H37</f>
        <v>4.1967219253846152E-2</v>
      </c>
      <c r="I31" s="263">
        <f t="shared" si="4"/>
        <v>3.1502308012499994E-2</v>
      </c>
      <c r="J31" s="248"/>
    </row>
    <row r="32" spans="1:10" x14ac:dyDescent="0.25">
      <c r="F32" t="s">
        <v>1288</v>
      </c>
      <c r="G32" s="249">
        <v>26</v>
      </c>
      <c r="H32" s="249">
        <v>24</v>
      </c>
      <c r="I32" s="249">
        <v>28</v>
      </c>
    </row>
    <row r="33" spans="1:14" x14ac:dyDescent="0.25">
      <c r="G33" s="249" t="s">
        <v>1285</v>
      </c>
      <c r="H33" s="249" t="s">
        <v>1286</v>
      </c>
      <c r="I33" s="249" t="s">
        <v>1287</v>
      </c>
    </row>
    <row r="34" spans="1:14" ht="15.75" x14ac:dyDescent="0.25">
      <c r="E34" s="466" t="s">
        <v>866</v>
      </c>
      <c r="F34" s="273" t="s">
        <v>867</v>
      </c>
      <c r="G34" s="391">
        <v>0.77500000000000002</v>
      </c>
      <c r="H34" s="390">
        <v>0.6</v>
      </c>
      <c r="I34" s="390">
        <v>0.95</v>
      </c>
    </row>
    <row r="35" spans="1:14" ht="15.75" x14ac:dyDescent="0.25">
      <c r="E35" s="466"/>
      <c r="F35" s="273" t="s">
        <v>95</v>
      </c>
      <c r="G35" s="391">
        <v>2.5000000000000001E-2</v>
      </c>
      <c r="H35" s="390">
        <v>0.1</v>
      </c>
      <c r="I35" s="390">
        <v>0</v>
      </c>
    </row>
    <row r="36" spans="1:14" ht="15.75" customHeight="1" thickBot="1" x14ac:dyDescent="0.3">
      <c r="E36" s="273" t="s">
        <v>866</v>
      </c>
      <c r="F36" s="273" t="s">
        <v>1291</v>
      </c>
      <c r="G36" s="249">
        <v>50</v>
      </c>
      <c r="H36" s="249">
        <v>65</v>
      </c>
      <c r="I36" s="249">
        <v>40</v>
      </c>
    </row>
    <row r="37" spans="1:14" ht="16.5" thickBot="1" x14ac:dyDescent="0.3">
      <c r="A37" s="1" t="s">
        <v>19</v>
      </c>
      <c r="B37" s="3" t="s">
        <v>20</v>
      </c>
      <c r="C37" s="3" t="s">
        <v>21</v>
      </c>
      <c r="E37" s="275" t="s">
        <v>893</v>
      </c>
      <c r="F37" s="275" t="s">
        <v>893</v>
      </c>
      <c r="G37" s="391">
        <v>2.5000000000000001E-2</v>
      </c>
      <c r="H37" s="89">
        <v>2.5000000000000001E-2</v>
      </c>
      <c r="I37" s="392">
        <v>0</v>
      </c>
    </row>
    <row r="38" spans="1:14" ht="16.5" thickBot="1" x14ac:dyDescent="0.3">
      <c r="A38" s="6">
        <v>1</v>
      </c>
      <c r="B38" s="6">
        <v>1</v>
      </c>
      <c r="C38" s="6">
        <v>1</v>
      </c>
      <c r="E38" s="275" t="s">
        <v>895</v>
      </c>
      <c r="F38" s="273" t="s">
        <v>896</v>
      </c>
      <c r="G38" s="391">
        <v>0.1</v>
      </c>
      <c r="H38" s="390">
        <v>0.2</v>
      </c>
      <c r="I38" s="390">
        <v>0.05</v>
      </c>
    </row>
    <row r="39" spans="1:14" ht="16.5" thickBot="1" x14ac:dyDescent="0.3">
      <c r="A39" s="6">
        <v>72</v>
      </c>
      <c r="B39" s="6">
        <v>85</v>
      </c>
      <c r="C39" s="6">
        <v>81.2</v>
      </c>
      <c r="E39" s="275" t="s">
        <v>897</v>
      </c>
      <c r="F39" s="273" t="s">
        <v>897</v>
      </c>
      <c r="G39" s="391">
        <v>0.05</v>
      </c>
      <c r="H39" s="390">
        <v>0.15</v>
      </c>
      <c r="I39" s="390">
        <v>0</v>
      </c>
    </row>
    <row r="40" spans="1:14" ht="16.5" thickBot="1" x14ac:dyDescent="0.3">
      <c r="A40" s="6">
        <v>289</v>
      </c>
      <c r="B40" s="6">
        <v>264</v>
      </c>
      <c r="C40" s="6">
        <v>273</v>
      </c>
      <c r="E40" s="275" t="s">
        <v>903</v>
      </c>
      <c r="F40" s="275" t="s">
        <v>904</v>
      </c>
      <c r="G40" s="391">
        <v>2.5000000000000001E-2</v>
      </c>
      <c r="H40" s="390">
        <v>0.05</v>
      </c>
      <c r="I40" s="390">
        <v>0</v>
      </c>
    </row>
    <row r="41" spans="1:14" ht="15.75" x14ac:dyDescent="0.25">
      <c r="E41" s="273" t="s">
        <v>870</v>
      </c>
      <c r="F41" s="273" t="s">
        <v>1289</v>
      </c>
      <c r="G41" s="157">
        <f>(46%*M48+52%*M50+2%*M49)</f>
        <v>0.12405614587499998</v>
      </c>
      <c r="H41" s="157">
        <f>(46%*M48+52%*M50+2%*M49)</f>
        <v>0.12405614587499998</v>
      </c>
      <c r="I41" s="157">
        <f>(46%*M48+52%*M50+2%*M49)</f>
        <v>0.12405614587499998</v>
      </c>
    </row>
    <row r="43" spans="1:14" ht="15.75" x14ac:dyDescent="0.25">
      <c r="A43" s="460" t="s">
        <v>857</v>
      </c>
      <c r="B43" s="463" t="s">
        <v>414</v>
      </c>
      <c r="C43" s="463" t="s">
        <v>826</v>
      </c>
      <c r="D43" s="454" t="s">
        <v>858</v>
      </c>
      <c r="E43" s="455"/>
      <c r="F43" s="455"/>
      <c r="G43" s="455"/>
      <c r="H43" s="455"/>
      <c r="I43" s="456"/>
      <c r="J43" s="463" t="s">
        <v>859</v>
      </c>
    </row>
    <row r="44" spans="1:14" ht="15.75" x14ac:dyDescent="0.25">
      <c r="A44" s="461"/>
      <c r="B44" s="464"/>
      <c r="C44" s="464"/>
      <c r="D44" s="454" t="s">
        <v>860</v>
      </c>
      <c r="E44" s="456"/>
      <c r="F44" s="454" t="s">
        <v>861</v>
      </c>
      <c r="G44" s="456"/>
      <c r="H44" s="454" t="s">
        <v>862</v>
      </c>
      <c r="I44" s="456"/>
      <c r="J44" s="465"/>
    </row>
    <row r="45" spans="1:14" ht="31.5" x14ac:dyDescent="0.25">
      <c r="A45" s="462"/>
      <c r="B45" s="465"/>
      <c r="C45" s="465"/>
      <c r="D45" s="272" t="s">
        <v>863</v>
      </c>
      <c r="E45" s="272" t="s">
        <v>864</v>
      </c>
      <c r="F45" s="272" t="s">
        <v>863</v>
      </c>
      <c r="G45" s="272" t="s">
        <v>864</v>
      </c>
      <c r="H45" s="272" t="s">
        <v>863</v>
      </c>
      <c r="I45" s="272" t="s">
        <v>864</v>
      </c>
      <c r="J45" s="272" t="s">
        <v>865</v>
      </c>
      <c r="L45" s="382" t="s">
        <v>19</v>
      </c>
      <c r="M45" s="382" t="s">
        <v>20</v>
      </c>
      <c r="N45" s="382" t="s">
        <v>21</v>
      </c>
    </row>
    <row r="46" spans="1:14" ht="31.5" x14ac:dyDescent="0.25">
      <c r="A46" s="457" t="s">
        <v>866</v>
      </c>
      <c r="B46" s="273" t="s">
        <v>867</v>
      </c>
      <c r="C46" s="273" t="s">
        <v>868</v>
      </c>
      <c r="D46" s="274">
        <f>1198.86/1000</f>
        <v>1.1988599999999998</v>
      </c>
      <c r="E46" s="275" t="s">
        <v>840</v>
      </c>
      <c r="F46" s="276">
        <f>41.27/1000000</f>
        <v>4.1270000000000003E-5</v>
      </c>
      <c r="G46" s="275" t="s">
        <v>840</v>
      </c>
      <c r="H46" s="276">
        <f>21.46/1000000</f>
        <v>2.1460000000000001E-5</v>
      </c>
      <c r="I46" s="275" t="s">
        <v>840</v>
      </c>
      <c r="J46" s="393">
        <v>50</v>
      </c>
      <c r="K46" s="19"/>
      <c r="L46" s="383">
        <f>($D46*A$38+$F46*A$39+$H46*A$40)/$J46</f>
        <v>2.4160667599999998E-2</v>
      </c>
      <c r="M46" s="383">
        <f>($D46*B$38+$F46*B$39+$H46*B$40)/$J46</f>
        <v>2.4160667799999994E-2</v>
      </c>
      <c r="N46" s="383">
        <f>($D46*C$38+$F46*C$39+$H46*C$40)/$J46</f>
        <v>2.4161394079999995E-2</v>
      </c>
    </row>
    <row r="47" spans="1:14" ht="31.5" x14ac:dyDescent="0.25">
      <c r="A47" s="459"/>
      <c r="B47" s="273" t="s">
        <v>95</v>
      </c>
      <c r="C47" s="273" t="s">
        <v>869</v>
      </c>
      <c r="D47" s="274">
        <f>1339.89/1000</f>
        <v>1.33989</v>
      </c>
      <c r="E47" s="275" t="s">
        <v>840</v>
      </c>
      <c r="F47" s="276">
        <f>998.83/1000000</f>
        <v>9.9883000000000003E-4</v>
      </c>
      <c r="G47" s="275" t="s">
        <v>840</v>
      </c>
      <c r="H47" s="276">
        <f>1000/1000000</f>
        <v>1E-3</v>
      </c>
      <c r="I47" s="275" t="s">
        <v>840</v>
      </c>
      <c r="J47" s="393">
        <v>50</v>
      </c>
      <c r="K47" s="19"/>
      <c r="L47" s="383">
        <f t="shared" ref="L47:N52" si="5">($D47*A$38+$F47*A$39+$H47*A$40)/$J47</f>
        <v>3.4016115200000002E-2</v>
      </c>
      <c r="M47" s="383">
        <f t="shared" si="5"/>
        <v>3.3775811000000003E-2</v>
      </c>
      <c r="N47" s="383">
        <f t="shared" si="5"/>
        <v>3.3879899920000005E-2</v>
      </c>
    </row>
    <row r="48" spans="1:14" ht="47.25" x14ac:dyDescent="0.25">
      <c r="A48" s="457" t="s">
        <v>870</v>
      </c>
      <c r="B48" s="273" t="s">
        <v>871</v>
      </c>
      <c r="C48" s="273" t="s">
        <v>872</v>
      </c>
      <c r="D48" s="274">
        <f>202.11/1000</f>
        <v>0.20211000000000001</v>
      </c>
      <c r="E48" s="275" t="s">
        <v>840</v>
      </c>
      <c r="F48" s="276">
        <f>27.95/1000000</f>
        <v>2.7949999999999998E-5</v>
      </c>
      <c r="G48" s="275" t="s">
        <v>840</v>
      </c>
      <c r="H48" s="276">
        <f>3.76/1000000</f>
        <v>3.7599999999999996E-6</v>
      </c>
      <c r="I48" s="275" t="s">
        <v>840</v>
      </c>
      <c r="J48" s="386">
        <v>1.6</v>
      </c>
      <c r="K48" s="19"/>
      <c r="L48" s="383">
        <f>($D48*A$38+$F48*A$39+$H48*A$40)/$J48</f>
        <v>0.12825565</v>
      </c>
      <c r="M48" s="383">
        <f t="shared" si="5"/>
        <v>0.12842399374999999</v>
      </c>
      <c r="N48" s="383">
        <f t="shared" si="5"/>
        <v>0.12837876249999999</v>
      </c>
    </row>
    <row r="49" spans="1:14" ht="47.25" x14ac:dyDescent="0.25">
      <c r="A49" s="458"/>
      <c r="B49" s="273" t="s">
        <v>873</v>
      </c>
      <c r="C49" s="273" t="s">
        <v>874</v>
      </c>
      <c r="D49" s="274">
        <f>140.6/1000</f>
        <v>0.1406</v>
      </c>
      <c r="E49" s="275" t="s">
        <v>840</v>
      </c>
      <c r="F49" s="276">
        <f>19.92/1000000</f>
        <v>1.9920000000000002E-5</v>
      </c>
      <c r="G49" s="275" t="s">
        <v>840</v>
      </c>
      <c r="H49" s="276">
        <f>2/1000000</f>
        <v>1.9999999999999999E-6</v>
      </c>
      <c r="I49" s="275" t="s">
        <v>840</v>
      </c>
      <c r="J49" s="386">
        <v>1.6</v>
      </c>
      <c r="K49" s="19"/>
      <c r="L49" s="383">
        <f t="shared" si="5"/>
        <v>8.9132649999999994E-2</v>
      </c>
      <c r="M49" s="383">
        <f t="shared" si="5"/>
        <v>8.9263250000000002E-2</v>
      </c>
      <c r="N49" s="383">
        <f t="shared" si="5"/>
        <v>8.9227189999999984E-2</v>
      </c>
    </row>
    <row r="50" spans="1:14" ht="47.25" x14ac:dyDescent="0.25">
      <c r="A50" s="458"/>
      <c r="B50" s="273" t="s">
        <v>875</v>
      </c>
      <c r="C50" s="273" t="s">
        <v>876</v>
      </c>
      <c r="D50" s="274">
        <f>192.46/1000</f>
        <v>0.19246000000000002</v>
      </c>
      <c r="E50" s="275" t="s">
        <v>840</v>
      </c>
      <c r="F50" s="276">
        <f>1.19/1000000</f>
        <v>1.19E-6</v>
      </c>
      <c r="G50" s="275" t="s">
        <v>840</v>
      </c>
      <c r="H50" s="276">
        <f>7.15/1000000</f>
        <v>7.1500000000000002E-6</v>
      </c>
      <c r="I50" s="275" t="s">
        <v>840</v>
      </c>
      <c r="J50" s="386">
        <v>1.6</v>
      </c>
      <c r="K50" s="19"/>
      <c r="L50" s="383">
        <f t="shared" si="5"/>
        <v>0.12163251875</v>
      </c>
      <c r="M50" s="383">
        <f t="shared" si="5"/>
        <v>0.12153046875</v>
      </c>
      <c r="N50" s="383">
        <f t="shared" si="5"/>
        <v>0.12156786125000001</v>
      </c>
    </row>
    <row r="51" spans="1:14" ht="47.25" x14ac:dyDescent="0.25">
      <c r="A51" s="458"/>
      <c r="B51" s="273" t="s">
        <v>877</v>
      </c>
      <c r="C51" s="273" t="s">
        <v>878</v>
      </c>
      <c r="D51" s="274">
        <f>191.9/1000</f>
        <v>0.19190000000000002</v>
      </c>
      <c r="E51" s="275" t="s">
        <v>840</v>
      </c>
      <c r="F51" s="276">
        <f>34.4/1000000</f>
        <v>3.4399999999999996E-5</v>
      </c>
      <c r="G51" s="275" t="s">
        <v>840</v>
      </c>
      <c r="H51" s="276">
        <f>0/1000000</f>
        <v>0</v>
      </c>
      <c r="I51" s="275" t="s">
        <v>840</v>
      </c>
      <c r="J51" s="386">
        <v>1.6</v>
      </c>
      <c r="K51" s="19"/>
      <c r="L51" s="383">
        <f t="shared" si="5"/>
        <v>0.12148550000000001</v>
      </c>
      <c r="M51" s="383">
        <f t="shared" si="5"/>
        <v>0.12176500000000001</v>
      </c>
      <c r="N51" s="383">
        <f t="shared" si="5"/>
        <v>0.12168330000000001</v>
      </c>
    </row>
    <row r="52" spans="1:14" ht="15.75" x14ac:dyDescent="0.25">
      <c r="B52" s="248" t="s">
        <v>1283</v>
      </c>
      <c r="C52" s="248" t="s">
        <v>1284</v>
      </c>
      <c r="D52" s="384">
        <f>0.5*(D48+D50)</f>
        <v>0.19728500000000002</v>
      </c>
      <c r="E52" s="275" t="s">
        <v>840</v>
      </c>
      <c r="F52" s="385">
        <f>0.5*(F48+F50)</f>
        <v>1.4569999999999999E-5</v>
      </c>
      <c r="G52" s="275" t="s">
        <v>840</v>
      </c>
      <c r="H52" s="385">
        <f>0.5*(H48+H50)</f>
        <v>5.4549999999999994E-6</v>
      </c>
      <c r="I52" s="275" t="s">
        <v>840</v>
      </c>
      <c r="J52" s="250">
        <f>0.5*(J48+J50)</f>
        <v>1.6</v>
      </c>
      <c r="L52" s="383">
        <f t="shared" si="5"/>
        <v>0.12494408437500001</v>
      </c>
      <c r="M52" s="383">
        <f t="shared" si="5"/>
        <v>0.12497723125</v>
      </c>
      <c r="N52" s="383">
        <f t="shared" si="5"/>
        <v>0.12497331187499999</v>
      </c>
    </row>
    <row r="55" spans="1:14" ht="15.75" x14ac:dyDescent="0.25">
      <c r="A55" s="460" t="s">
        <v>857</v>
      </c>
      <c r="B55" s="463" t="s">
        <v>414</v>
      </c>
      <c r="C55" s="463" t="s">
        <v>826</v>
      </c>
      <c r="D55" s="454" t="s">
        <v>891</v>
      </c>
      <c r="E55" s="455"/>
      <c r="F55" s="455"/>
      <c r="G55" s="455"/>
      <c r="H55" s="455"/>
      <c r="I55" s="456"/>
    </row>
    <row r="56" spans="1:14" ht="15.75" x14ac:dyDescent="0.25">
      <c r="A56" s="461"/>
      <c r="B56" s="464"/>
      <c r="C56" s="464"/>
      <c r="D56" s="454" t="s">
        <v>860</v>
      </c>
      <c r="E56" s="456"/>
      <c r="F56" s="454" t="s">
        <v>861</v>
      </c>
      <c r="G56" s="456"/>
      <c r="H56" s="454" t="s">
        <v>862</v>
      </c>
      <c r="I56" s="456"/>
    </row>
    <row r="57" spans="1:14" ht="15.75" x14ac:dyDescent="0.25">
      <c r="A57" s="462"/>
      <c r="B57" s="465"/>
      <c r="C57" s="465"/>
      <c r="D57" s="272" t="s">
        <v>863</v>
      </c>
      <c r="E57" s="272" t="s">
        <v>864</v>
      </c>
      <c r="F57" s="272" t="s">
        <v>863</v>
      </c>
      <c r="G57" s="272" t="s">
        <v>864</v>
      </c>
      <c r="H57" s="272" t="s">
        <v>863</v>
      </c>
      <c r="I57" s="272" t="s">
        <v>864</v>
      </c>
      <c r="L57" s="382" t="s">
        <v>19</v>
      </c>
      <c r="M57" s="382" t="s">
        <v>20</v>
      </c>
      <c r="N57" s="382" t="s">
        <v>21</v>
      </c>
    </row>
    <row r="58" spans="1:14" ht="15.75" x14ac:dyDescent="0.25">
      <c r="A58" s="457" t="s">
        <v>892</v>
      </c>
      <c r="B58" s="275" t="s">
        <v>893</v>
      </c>
      <c r="C58" s="275" t="s">
        <v>893</v>
      </c>
      <c r="D58" s="289">
        <f>0*1000</f>
        <v>0</v>
      </c>
      <c r="E58" s="275" t="s">
        <v>894</v>
      </c>
      <c r="F58" s="289">
        <v>1.9E-6</v>
      </c>
      <c r="G58" s="275" t="s">
        <v>894</v>
      </c>
      <c r="H58" s="289">
        <v>1.3999999999999999E-6</v>
      </c>
      <c r="I58" s="275" t="s">
        <v>894</v>
      </c>
      <c r="L58" s="383">
        <f>($D58*A$38+$F58*A$39+$H58*A$40)</f>
        <v>5.4139999999999993E-4</v>
      </c>
      <c r="M58" s="383">
        <f>($D58*B$38+$F58*B$39+$H58*B$40)</f>
        <v>5.3109999999999995E-4</v>
      </c>
      <c r="N58" s="383">
        <f>($D58*C$38+$F58*C$39+$H58*C$40)</f>
        <v>5.3647999999999999E-4</v>
      </c>
    </row>
    <row r="59" spans="1:14" ht="31.5" x14ac:dyDescent="0.25">
      <c r="A59" s="458"/>
      <c r="B59" s="273" t="s">
        <v>895</v>
      </c>
      <c r="C59" s="273" t="s">
        <v>896</v>
      </c>
      <c r="D59" s="290">
        <f>0.0000534*1000</f>
        <v>5.3399999999999996E-2</v>
      </c>
      <c r="E59" s="275" t="s">
        <v>894</v>
      </c>
      <c r="F59" s="290">
        <v>2.8600000000000001E-6</v>
      </c>
      <c r="G59" s="275" t="s">
        <v>894</v>
      </c>
      <c r="H59" s="290">
        <v>9.7999999999999977E-6</v>
      </c>
      <c r="I59" s="275" t="s">
        <v>894</v>
      </c>
      <c r="L59" s="383">
        <f t="shared" ref="L59:N61" si="6">($D59*A$38+$F59*A$39+$H59*A$40)</f>
        <v>5.6438119999999994E-2</v>
      </c>
      <c r="M59" s="383">
        <f t="shared" si="6"/>
        <v>5.6230299999999997E-2</v>
      </c>
      <c r="N59" s="383">
        <f t="shared" si="6"/>
        <v>5.6307631999999996E-2</v>
      </c>
    </row>
    <row r="60" spans="1:14" ht="15.75" x14ac:dyDescent="0.25">
      <c r="A60" s="459"/>
      <c r="B60" s="273" t="s">
        <v>897</v>
      </c>
      <c r="C60" s="273" t="s">
        <v>897</v>
      </c>
      <c r="D60" s="290">
        <f>0.00007414*1000</f>
        <v>7.4140000000000011E-2</v>
      </c>
      <c r="E60" s="275" t="s">
        <v>894</v>
      </c>
      <c r="F60" s="290">
        <v>1.9E-6</v>
      </c>
      <c r="G60" s="275" t="s">
        <v>894</v>
      </c>
      <c r="H60" s="290">
        <v>1.3999999999999999E-6</v>
      </c>
      <c r="I60" s="275" t="s">
        <v>894</v>
      </c>
      <c r="L60" s="383">
        <f t="shared" si="6"/>
        <v>7.4681400000000023E-2</v>
      </c>
      <c r="M60" s="383">
        <f t="shared" si="6"/>
        <v>7.4671100000000004E-2</v>
      </c>
      <c r="N60" s="383">
        <f t="shared" si="6"/>
        <v>7.4676480000000017E-2</v>
      </c>
    </row>
    <row r="61" spans="1:14" ht="15.75" x14ac:dyDescent="0.25">
      <c r="A61" s="277" t="s">
        <v>898</v>
      </c>
      <c r="B61" s="273" t="s">
        <v>895</v>
      </c>
      <c r="C61" s="273" t="s">
        <v>899</v>
      </c>
      <c r="D61" s="290">
        <f>0*1000</f>
        <v>0</v>
      </c>
      <c r="E61" s="275" t="s">
        <v>900</v>
      </c>
      <c r="F61" s="290">
        <v>1.3698889852995631E-6</v>
      </c>
      <c r="G61" s="273" t="s">
        <v>900</v>
      </c>
      <c r="H61" s="290">
        <v>4.1096669558986883E-7</v>
      </c>
      <c r="I61" s="273" t="s">
        <v>900</v>
      </c>
      <c r="L61" s="383">
        <f t="shared" si="6"/>
        <v>2.1740138196704064E-4</v>
      </c>
      <c r="M61" s="383">
        <f t="shared" si="6"/>
        <v>2.2493577138618822E-4</v>
      </c>
      <c r="N61" s="383">
        <f t="shared" si="6"/>
        <v>2.2342889350235871E-4</v>
      </c>
    </row>
    <row r="64" spans="1:14" ht="15.75" x14ac:dyDescent="0.25">
      <c r="A64" s="460" t="s">
        <v>857</v>
      </c>
      <c r="B64" s="463" t="s">
        <v>414</v>
      </c>
      <c r="C64" s="463" t="s">
        <v>826</v>
      </c>
      <c r="D64" s="454" t="s">
        <v>891</v>
      </c>
      <c r="E64" s="455"/>
      <c r="F64" s="455"/>
      <c r="G64" s="455"/>
      <c r="H64" s="455"/>
      <c r="I64" s="456"/>
    </row>
    <row r="65" spans="1:14" ht="15.75" x14ac:dyDescent="0.25">
      <c r="A65" s="461"/>
      <c r="B65" s="464"/>
      <c r="C65" s="464"/>
      <c r="D65" s="454" t="s">
        <v>860</v>
      </c>
      <c r="E65" s="456"/>
      <c r="F65" s="454" t="s">
        <v>861</v>
      </c>
      <c r="G65" s="456"/>
      <c r="H65" s="454" t="s">
        <v>862</v>
      </c>
      <c r="I65" s="456"/>
    </row>
    <row r="66" spans="1:14" ht="15.75" x14ac:dyDescent="0.25">
      <c r="A66" s="462"/>
      <c r="B66" s="465"/>
      <c r="C66" s="465"/>
      <c r="D66" s="292" t="s">
        <v>863</v>
      </c>
      <c r="E66" s="292" t="s">
        <v>864</v>
      </c>
      <c r="F66" s="292" t="s">
        <v>863</v>
      </c>
      <c r="G66" s="292" t="s">
        <v>864</v>
      </c>
      <c r="H66" s="292" t="s">
        <v>863</v>
      </c>
      <c r="I66" s="292" t="s">
        <v>864</v>
      </c>
      <c r="L66" s="382" t="s">
        <v>19</v>
      </c>
      <c r="M66" s="382" t="s">
        <v>20</v>
      </c>
      <c r="N66" s="382" t="s">
        <v>21</v>
      </c>
    </row>
    <row r="67" spans="1:14" ht="31.5" x14ac:dyDescent="0.25">
      <c r="A67" s="277" t="s">
        <v>892</v>
      </c>
      <c r="B67" s="275" t="s">
        <v>903</v>
      </c>
      <c r="C67" s="275" t="s">
        <v>904</v>
      </c>
      <c r="D67" s="289">
        <f>0.00011516*1000</f>
        <v>0.11516</v>
      </c>
      <c r="E67" s="275" t="s">
        <v>894</v>
      </c>
      <c r="F67" s="293"/>
      <c r="G67" s="294"/>
      <c r="H67" s="293"/>
      <c r="I67" s="294"/>
      <c r="L67" s="383">
        <f>($D67*A$38+$F67*A$39+$H67*A$40)</f>
        <v>0.11516</v>
      </c>
      <c r="M67" s="383">
        <f>($D67*B$38+$F67*B$39+$H67*B$40)</f>
        <v>0.11516</v>
      </c>
      <c r="N67" s="383">
        <f>($D67*C$38+$F67*C$39+$H67*C$40)</f>
        <v>0.11516</v>
      </c>
    </row>
  </sheetData>
  <mergeCells count="26">
    <mergeCell ref="A43:A45"/>
    <mergeCell ref="B43:B45"/>
    <mergeCell ref="C43:C45"/>
    <mergeCell ref="D43:I43"/>
    <mergeCell ref="J43:J44"/>
    <mergeCell ref="D44:E44"/>
    <mergeCell ref="F44:G44"/>
    <mergeCell ref="H44:I44"/>
    <mergeCell ref="D55:I55"/>
    <mergeCell ref="D56:E56"/>
    <mergeCell ref="F56:G56"/>
    <mergeCell ref="H56:I56"/>
    <mergeCell ref="E34:E35"/>
    <mergeCell ref="A46:A47"/>
    <mergeCell ref="A48:A51"/>
    <mergeCell ref="A55:A57"/>
    <mergeCell ref="B55:B57"/>
    <mergeCell ref="C55:C57"/>
    <mergeCell ref="A58:A60"/>
    <mergeCell ref="A64:A66"/>
    <mergeCell ref="B64:B66"/>
    <mergeCell ref="C64:C66"/>
    <mergeCell ref="D64:I64"/>
    <mergeCell ref="D65:E65"/>
    <mergeCell ref="F65:G65"/>
    <mergeCell ref="H65:I65"/>
  </mergeCells>
  <pageMargins left="0.7" right="0.7" top="0.75" bottom="0.75" header="0.3" footer="0.3"/>
  <customProperties>
    <customPr name="GUID" r:id="rId1"/>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0"/>
  <dimension ref="A1:XFC12"/>
  <sheetViews>
    <sheetView zoomScale="55" zoomScaleNormal="55" workbookViewId="0">
      <selection activeCell="G2" sqref="G2"/>
    </sheetView>
  </sheetViews>
  <sheetFormatPr defaultRowHeight="15" x14ac:dyDescent="0.25"/>
  <cols>
    <col min="1" max="1" width="34.7109375" style="10" customWidth="1"/>
    <col min="2" max="2" width="86" style="10" bestFit="1" customWidth="1"/>
    <col min="3" max="3" width="17" style="10" customWidth="1"/>
    <col min="4" max="4" width="40.5703125" style="10" customWidth="1"/>
    <col min="5" max="5" width="74.5703125" bestFit="1" customWidth="1"/>
    <col min="6" max="6" width="24.7109375" customWidth="1"/>
    <col min="7" max="7" width="15.28515625" customWidth="1"/>
    <col min="8" max="8" width="13" style="248" customWidth="1"/>
    <col min="9" max="9" width="13.140625" customWidth="1"/>
    <col min="12" max="12" width="14.28515625" customWidth="1"/>
    <col min="13" max="13" width="16.85546875" customWidth="1"/>
    <col min="14" max="15" width="14.28515625" customWidth="1"/>
    <col min="16" max="16" width="16.5703125" customWidth="1"/>
    <col min="17" max="18" width="14.28515625" customWidth="1"/>
    <col min="19" max="19" width="15.85546875" customWidth="1"/>
  </cols>
  <sheetData>
    <row r="1" spans="1:16383" x14ac:dyDescent="0.25">
      <c r="A1" s="10" t="s">
        <v>414</v>
      </c>
      <c r="B1" s="10" t="s">
        <v>491</v>
      </c>
      <c r="C1" s="10" t="s">
        <v>492</v>
      </c>
      <c r="D1" s="10" t="s">
        <v>493</v>
      </c>
      <c r="E1" s="10" t="s">
        <v>636</v>
      </c>
      <c r="F1" s="10" t="s">
        <v>566</v>
      </c>
      <c r="G1" s="208" t="s">
        <v>797</v>
      </c>
      <c r="H1" s="248" t="s">
        <v>489</v>
      </c>
    </row>
    <row r="2" spans="1:16383" x14ac:dyDescent="0.25">
      <c r="A2" s="10" t="str">
        <f>'FE Deslocações Pendulares aux'!A2</f>
        <v>Emissões médias por colaborador</v>
      </c>
      <c r="B2" s="248" t="str">
        <f>'FE Deslocações Pendulares aux'!B2</f>
        <v>ano</v>
      </c>
      <c r="C2" s="250">
        <f>'FE Deslocações Pendulares aux'!C2</f>
        <v>2230</v>
      </c>
      <c r="D2" s="248" t="str">
        <f>'FE Deslocações Pendulares aux'!D2</f>
        <v>Barraqueiro Transportes, S.A.: PC2021</v>
      </c>
      <c r="E2" s="248">
        <f>'FE Deslocações Pendulares aux'!E2</f>
        <v>24</v>
      </c>
      <c r="F2" s="140">
        <f>'FE Deslocações Pendulares aux'!F2</f>
        <v>0.39371468926553671</v>
      </c>
      <c r="G2" s="248">
        <f>'FE Deslocações Pendulares aux'!G2</f>
        <v>236</v>
      </c>
      <c r="H2" s="248" t="s">
        <v>57</v>
      </c>
    </row>
    <row r="3" spans="1:16383" x14ac:dyDescent="0.25">
      <c r="A3" s="248" t="str">
        <f>'FE Deslocações Pendulares aux'!A3</f>
        <v>Emissões médias por colaborador</v>
      </c>
      <c r="B3" s="248" t="str">
        <f>'FE Deslocações Pendulares aux'!B3</f>
        <v>ano</v>
      </c>
      <c r="C3" s="250">
        <f>'FE Deslocações Pendulares aux'!C3</f>
        <v>1650</v>
      </c>
      <c r="D3" s="248" t="str">
        <f>'FE Deslocações Pendulares aux'!D3</f>
        <v>Ribatejana Verde: PC2021</v>
      </c>
      <c r="E3" s="248">
        <f>'FE Deslocações Pendulares aux'!E3</f>
        <v>26</v>
      </c>
      <c r="F3" s="140">
        <f>'FE Deslocações Pendulares aux'!F3</f>
        <v>0.26890482398956977</v>
      </c>
      <c r="G3" s="248">
        <f>'FE Deslocações Pendulares aux'!G3</f>
        <v>236</v>
      </c>
      <c r="H3" s="251" t="s">
        <v>57</v>
      </c>
    </row>
    <row r="4" spans="1:16383" x14ac:dyDescent="0.25">
      <c r="A4" s="248" t="str">
        <f>'FE Deslocações Pendulares aux'!A4</f>
        <v>Emissões médias por colaborador</v>
      </c>
      <c r="B4" s="248" t="str">
        <f>'FE Deslocações Pendulares aux'!B4</f>
        <v>ano</v>
      </c>
      <c r="C4" s="250">
        <f>'FE Deslocações Pendulares aux'!C4</f>
        <v>1290</v>
      </c>
      <c r="D4" s="248" t="str">
        <f>'FE Deslocações Pendulares aux'!D4</f>
        <v>Diana Tours / Prime Bus: PC2021</v>
      </c>
      <c r="E4" s="248">
        <f>'FE Deslocações Pendulares aux'!E4</f>
        <v>25</v>
      </c>
      <c r="F4" s="140">
        <f>'FE Deslocações Pendulares aux'!F4</f>
        <v>0.21864406779661016</v>
      </c>
      <c r="G4" s="248">
        <f>'FE Deslocações Pendulares aux'!G4</f>
        <v>236</v>
      </c>
      <c r="H4" s="251" t="s">
        <v>57</v>
      </c>
    </row>
    <row r="5" spans="1:16383" x14ac:dyDescent="0.25">
      <c r="A5" s="248" t="str">
        <f>'FE Deslocações Pendulares aux'!A5</f>
        <v>Emissões médias por colaborador</v>
      </c>
      <c r="B5" s="248" t="str">
        <f>'FE Deslocações Pendulares aux'!B5</f>
        <v>ano</v>
      </c>
      <c r="C5" s="250">
        <f>'FE Deslocações Pendulares aux'!C5</f>
        <v>2370</v>
      </c>
      <c r="D5" s="248" t="str">
        <f>'FE Deslocações Pendulares aux'!D5</f>
        <v>Cityrama: PC2021</v>
      </c>
      <c r="E5" s="248">
        <f>'FE Deslocações Pendulares aux'!E5</f>
        <v>28</v>
      </c>
      <c r="F5" s="140">
        <f>'FE Deslocações Pendulares aux'!F5</f>
        <v>0.35865617433414043</v>
      </c>
      <c r="G5" s="248">
        <f>'FE Deslocações Pendulares aux'!G5</f>
        <v>236</v>
      </c>
      <c r="H5" s="251" t="s">
        <v>57</v>
      </c>
    </row>
    <row r="6" spans="1:16383" x14ac:dyDescent="0.25">
      <c r="A6" s="248" t="str">
        <f>'FE Deslocações Pendulares aux'!A6</f>
        <v>Emissões médias por colaborador</v>
      </c>
      <c r="B6" s="248" t="str">
        <f>'FE Deslocações Pendulares aux'!B6</f>
        <v>ano</v>
      </c>
      <c r="C6" s="250">
        <f>'FE Deslocações Pendulares aux'!C6</f>
        <v>1828.8816391941391</v>
      </c>
      <c r="D6" s="248" t="str">
        <f>'FE Deslocações Pendulares aux'!D6</f>
        <v>Universo GB: PC2021</v>
      </c>
      <c r="E6" s="248">
        <f>'FE Deslocações Pendulares aux'!E6</f>
        <v>25</v>
      </c>
      <c r="F6" s="140">
        <f>'FE Deslocações Pendulares aux'!F6</f>
        <v>0.30997993884646424</v>
      </c>
      <c r="G6" s="248">
        <f>'FE Deslocações Pendulares aux'!G6</f>
        <v>236</v>
      </c>
      <c r="H6" s="251" t="s">
        <v>57</v>
      </c>
    </row>
    <row r="7" spans="1:16383" x14ac:dyDescent="0.25">
      <c r="A7" s="248" t="str">
        <f>'FE Deslocações Pendulares aux'!A7</f>
        <v>Emissões médias por colaborador</v>
      </c>
      <c r="B7" s="248" t="str">
        <f>'FE Deslocações Pendulares aux'!B7</f>
        <v>ano</v>
      </c>
      <c r="C7" s="250">
        <f>'FE Deslocações Pendulares aux'!C7</f>
        <v>0</v>
      </c>
      <c r="D7" s="248" t="str">
        <f>'FE Deslocações Pendulares aux'!D7</f>
        <v>Rodocargo: PC2021</v>
      </c>
      <c r="E7" s="248">
        <f>'FE Deslocações Pendulares aux'!E7</f>
        <v>0</v>
      </c>
      <c r="F7" s="140">
        <f>'FE Deslocações Pendulares aux'!F7</f>
        <v>0</v>
      </c>
      <c r="G7" s="248">
        <f>'FE Deslocações Pendulares aux'!G7</f>
        <v>236</v>
      </c>
      <c r="H7" s="251" t="s">
        <v>57</v>
      </c>
    </row>
    <row r="8" spans="1:16383" x14ac:dyDescent="0.25">
      <c r="A8" s="248" t="str">
        <f>'FE Deslocações Pendulares aux'!A8</f>
        <v>Emissões médias calc APA</v>
      </c>
      <c r="B8" s="248" t="str">
        <f>'FE Deslocações Pendulares aux'!B8</f>
        <v>ano</v>
      </c>
      <c r="C8" s="250">
        <f>'FE Deslocações Pendulares aux'!C8</f>
        <v>526.39185986351652</v>
      </c>
      <c r="D8" s="248" t="str">
        <f>'FE Deslocações Pendulares aux'!D8</f>
        <v>Universal PT: APA Calculadora 2024</v>
      </c>
      <c r="E8" s="248">
        <f>'FE Deslocações Pendulares aux'!E8</f>
        <v>26</v>
      </c>
      <c r="F8" s="140">
        <f>'FE Deslocações Pendulares aux'!F8</f>
        <v>8.578746086432798E-2</v>
      </c>
      <c r="G8" s="248">
        <f>'FE Deslocações Pendulares aux'!G8</f>
        <v>236</v>
      </c>
      <c r="H8" s="251" t="s">
        <v>57</v>
      </c>
    </row>
    <row r="9" spans="1:16383" x14ac:dyDescent="0.25">
      <c r="A9" s="248" t="str">
        <f>'FE Deslocações Pendulares aux'!A9</f>
        <v>Emissões médias calc APA</v>
      </c>
      <c r="B9" s="248" t="str">
        <f>'FE Deslocações Pendulares aux'!B9</f>
        <v>ano</v>
      </c>
      <c r="C9" s="250">
        <f>'FE Deslocações Pendulares aux'!C9</f>
        <v>492.96526309479009</v>
      </c>
      <c r="D9" s="248" t="str">
        <f>'FE Deslocações Pendulares aux'!D9</f>
        <v>AMLP PT: APA Calculadora 2024</v>
      </c>
      <c r="E9" s="248">
        <f>'FE Deslocações Pendulares aux'!E9</f>
        <v>24</v>
      </c>
      <c r="F9" s="140">
        <f>'FE Deslocações Pendulares aux'!F9</f>
        <v>8.7034827523797681E-2</v>
      </c>
      <c r="G9" s="248">
        <f>'FE Deslocações Pendulares aux'!G9</f>
        <v>236</v>
      </c>
      <c r="H9" s="251" t="s">
        <v>57</v>
      </c>
    </row>
    <row r="10" spans="1:16383" x14ac:dyDescent="0.25">
      <c r="A10" s="248" t="str">
        <f>'FE Deslocações Pendulares aux'!A10</f>
        <v>Emissões médias calc APA</v>
      </c>
      <c r="B10" s="248" t="str">
        <f>'FE Deslocações Pendulares aux'!B10</f>
        <v>ano</v>
      </c>
      <c r="C10" s="250">
        <f>'FE Deslocações Pendulares aux'!C10</f>
        <v>566.62734307221706</v>
      </c>
      <c r="D10" s="248" t="str">
        <f>'FE Deslocações Pendulares aux'!D10</f>
        <v>Resto PT PT: APA Calculadora 2024</v>
      </c>
      <c r="E10" s="248">
        <f>'FE Deslocações Pendulares aux'!E10</f>
        <v>28</v>
      </c>
      <c r="F10" s="140">
        <f>'FE Deslocações Pendulares aux'!F10</f>
        <v>8.5748689932236236E-2</v>
      </c>
      <c r="G10" s="248">
        <f>'FE Deslocações Pendulares aux'!G10</f>
        <v>236</v>
      </c>
      <c r="H10" s="251" t="s">
        <v>57</v>
      </c>
    </row>
    <row r="11" spans="1:16383" x14ac:dyDescent="0.25">
      <c r="A11" s="248" t="str">
        <f>'FE Deslocações Pendulares aux'!A11</f>
        <v>Emissões médias calc APA</v>
      </c>
      <c r="B11" s="248" t="str">
        <f>'FE Deslocações Pendulares aux'!B11</f>
        <v>ano</v>
      </c>
      <c r="C11" s="250">
        <f>'FE Deslocações Pendulares aux'!C11</f>
        <v>634.18193384760002</v>
      </c>
      <c r="D11" s="248" t="str">
        <f>'FE Deslocações Pendulares aux'!D11</f>
        <v>APA PT: APA Calculadora 2024</v>
      </c>
      <c r="E11" s="248">
        <f>'FE Deslocações Pendulares aux'!E11</f>
        <v>30</v>
      </c>
      <c r="F11" s="140">
        <f>'FE Deslocações Pendulares aux'!F11</f>
        <v>8.9573719470000007E-2</v>
      </c>
      <c r="G11" s="248">
        <f>'FE Deslocações Pendulares aux'!G11</f>
        <v>236</v>
      </c>
      <c r="H11" s="251" t="s">
        <v>57</v>
      </c>
    </row>
    <row r="12" spans="1:16383" x14ac:dyDescent="0.25">
      <c r="A12" s="248"/>
      <c r="B12" s="248"/>
      <c r="C12" s="248"/>
      <c r="D12" s="248"/>
      <c r="E12" s="248"/>
      <c r="F12" s="248"/>
      <c r="G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8"/>
      <c r="AY12" s="248"/>
      <c r="AZ12" s="248"/>
      <c r="BA12" s="248"/>
      <c r="BB12" s="248"/>
      <c r="BC12" s="248"/>
      <c r="BD12" s="248"/>
      <c r="BE12" s="248"/>
      <c r="BF12" s="248"/>
      <c r="BG12" s="248"/>
      <c r="BH12" s="248"/>
      <c r="BI12" s="248"/>
      <c r="BJ12" s="248"/>
      <c r="BK12" s="248"/>
      <c r="BL12" s="248"/>
      <c r="BM12" s="248"/>
      <c r="BN12" s="248"/>
      <c r="BO12" s="248"/>
      <c r="BP12" s="248"/>
      <c r="BQ12" s="248"/>
      <c r="BR12" s="248"/>
      <c r="BS12" s="248"/>
      <c r="BT12" s="248"/>
      <c r="BU12" s="248"/>
      <c r="BV12" s="248"/>
      <c r="BW12" s="248"/>
      <c r="BX12" s="248"/>
      <c r="BY12" s="248"/>
      <c r="BZ12" s="248"/>
      <c r="CA12" s="248"/>
      <c r="CB12" s="248"/>
      <c r="CC12" s="248"/>
      <c r="CD12" s="248"/>
      <c r="CE12" s="248"/>
      <c r="CF12" s="248"/>
      <c r="CG12" s="248"/>
      <c r="CH12" s="248"/>
      <c r="CI12" s="248"/>
      <c r="CJ12" s="248"/>
      <c r="CK12" s="248"/>
      <c r="CL12" s="248"/>
      <c r="CM12" s="248"/>
      <c r="CN12" s="248"/>
      <c r="CO12" s="248"/>
      <c r="CP12" s="248"/>
      <c r="CQ12" s="248"/>
      <c r="CR12" s="248"/>
      <c r="CS12" s="248"/>
      <c r="CT12" s="248"/>
      <c r="CU12" s="248"/>
      <c r="CV12" s="248"/>
      <c r="CW12" s="248"/>
      <c r="CX12" s="248"/>
      <c r="CY12" s="248"/>
      <c r="CZ12" s="248"/>
      <c r="DA12" s="248"/>
      <c r="DB12" s="248"/>
      <c r="DC12" s="248"/>
      <c r="DD12" s="248"/>
      <c r="DE12" s="248"/>
      <c r="DF12" s="248"/>
      <c r="DG12" s="248"/>
      <c r="DH12" s="248"/>
      <c r="DI12" s="248"/>
      <c r="DJ12" s="248"/>
      <c r="DK12" s="248"/>
      <c r="DL12" s="248"/>
      <c r="DM12" s="248"/>
      <c r="DN12" s="248"/>
      <c r="DO12" s="248"/>
      <c r="DP12" s="248"/>
      <c r="DQ12" s="248"/>
      <c r="DR12" s="248"/>
      <c r="DS12" s="248"/>
      <c r="DT12" s="248"/>
      <c r="DU12" s="248"/>
      <c r="DV12" s="248"/>
      <c r="DW12" s="248"/>
      <c r="DX12" s="248"/>
      <c r="DY12" s="248"/>
      <c r="DZ12" s="248"/>
      <c r="EA12" s="248"/>
      <c r="EB12" s="248"/>
      <c r="EC12" s="248"/>
      <c r="ED12" s="248"/>
      <c r="EE12" s="248"/>
      <c r="EF12" s="248"/>
      <c r="EG12" s="248"/>
      <c r="EH12" s="248"/>
      <c r="EI12" s="248"/>
      <c r="EJ12" s="248"/>
      <c r="EK12" s="248"/>
      <c r="EL12" s="248"/>
      <c r="EM12" s="248"/>
      <c r="EN12" s="248"/>
      <c r="EO12" s="248"/>
      <c r="EP12" s="248"/>
      <c r="EQ12" s="248"/>
      <c r="ER12" s="248"/>
      <c r="ES12" s="248"/>
      <c r="ET12" s="248"/>
      <c r="EU12" s="248"/>
      <c r="EV12" s="248"/>
      <c r="EW12" s="248"/>
      <c r="EX12" s="248"/>
      <c r="EY12" s="248"/>
      <c r="EZ12" s="248"/>
      <c r="FA12" s="248"/>
      <c r="FB12" s="248"/>
      <c r="FC12" s="248"/>
      <c r="FD12" s="248"/>
      <c r="FE12" s="248"/>
      <c r="FF12" s="248"/>
      <c r="FG12" s="248"/>
      <c r="FH12" s="248"/>
      <c r="FI12" s="248"/>
      <c r="FJ12" s="248"/>
      <c r="FK12" s="248"/>
      <c r="FL12" s="248"/>
      <c r="FM12" s="248"/>
      <c r="FN12" s="248"/>
      <c r="FO12" s="248"/>
      <c r="FP12" s="248"/>
      <c r="FQ12" s="248"/>
      <c r="FR12" s="248"/>
      <c r="FS12" s="248"/>
      <c r="FT12" s="248"/>
      <c r="FU12" s="248"/>
      <c r="FV12" s="248"/>
      <c r="FW12" s="248"/>
      <c r="FX12" s="248"/>
      <c r="FY12" s="248"/>
      <c r="FZ12" s="248"/>
      <c r="GA12" s="248"/>
      <c r="GB12" s="248"/>
      <c r="GC12" s="248"/>
      <c r="GD12" s="248"/>
      <c r="GE12" s="248"/>
      <c r="GF12" s="248"/>
      <c r="GG12" s="248"/>
      <c r="GH12" s="248"/>
      <c r="GI12" s="248"/>
      <c r="GJ12" s="248"/>
      <c r="GK12" s="248"/>
      <c r="GL12" s="248"/>
      <c r="GM12" s="248"/>
      <c r="GN12" s="248"/>
      <c r="GO12" s="248"/>
      <c r="GP12" s="248"/>
      <c r="GQ12" s="248"/>
      <c r="GR12" s="248"/>
      <c r="GS12" s="248"/>
      <c r="GT12" s="248"/>
      <c r="GU12" s="248"/>
      <c r="GV12" s="248"/>
      <c r="GW12" s="248"/>
      <c r="GX12" s="248"/>
      <c r="GY12" s="248"/>
      <c r="GZ12" s="248"/>
      <c r="HA12" s="248"/>
      <c r="HB12" s="248"/>
      <c r="HC12" s="248"/>
      <c r="HD12" s="248"/>
      <c r="HE12" s="248"/>
      <c r="HF12" s="248"/>
      <c r="HG12" s="248"/>
      <c r="HH12" s="248"/>
      <c r="HI12" s="248"/>
      <c r="HJ12" s="248"/>
      <c r="HK12" s="248"/>
      <c r="HL12" s="248"/>
      <c r="HM12" s="248"/>
      <c r="HN12" s="248"/>
      <c r="HO12" s="248"/>
      <c r="HP12" s="248"/>
      <c r="HQ12" s="248"/>
      <c r="HR12" s="248"/>
      <c r="HS12" s="248"/>
      <c r="HT12" s="248"/>
      <c r="HU12" s="248"/>
      <c r="HV12" s="248"/>
      <c r="HW12" s="248"/>
      <c r="HX12" s="248"/>
      <c r="HY12" s="248"/>
      <c r="HZ12" s="248"/>
      <c r="IA12" s="248"/>
      <c r="IB12" s="248"/>
      <c r="IC12" s="248"/>
      <c r="ID12" s="248"/>
      <c r="IE12" s="248"/>
      <c r="IF12" s="248"/>
      <c r="IG12" s="248"/>
      <c r="IH12" s="248"/>
      <c r="II12" s="248"/>
      <c r="IJ12" s="248"/>
      <c r="IK12" s="248"/>
      <c r="IL12" s="248"/>
      <c r="IM12" s="248"/>
      <c r="IN12" s="248"/>
      <c r="IO12" s="248"/>
      <c r="IP12" s="248"/>
      <c r="IQ12" s="248"/>
      <c r="IR12" s="248"/>
      <c r="IS12" s="248"/>
      <c r="IT12" s="248"/>
      <c r="IU12" s="248"/>
      <c r="IV12" s="248"/>
      <c r="IW12" s="248"/>
      <c r="IX12" s="248"/>
      <c r="IY12" s="248"/>
      <c r="IZ12" s="248"/>
      <c r="JA12" s="248"/>
      <c r="JB12" s="248"/>
      <c r="JC12" s="248"/>
      <c r="JD12" s="248"/>
      <c r="JE12" s="248"/>
      <c r="JF12" s="248"/>
      <c r="JG12" s="248"/>
      <c r="JH12" s="248"/>
      <c r="JI12" s="248"/>
      <c r="JJ12" s="248"/>
      <c r="JK12" s="248"/>
      <c r="JL12" s="248"/>
      <c r="JM12" s="248"/>
      <c r="JN12" s="248"/>
      <c r="JO12" s="248"/>
      <c r="JP12" s="248"/>
      <c r="JQ12" s="248"/>
      <c r="JR12" s="248"/>
      <c r="JS12" s="248"/>
      <c r="JT12" s="248"/>
      <c r="JU12" s="248"/>
      <c r="JV12" s="248"/>
      <c r="JW12" s="248"/>
      <c r="JX12" s="248"/>
      <c r="JY12" s="248"/>
      <c r="JZ12" s="248"/>
      <c r="KA12" s="248"/>
      <c r="KB12" s="248"/>
      <c r="KC12" s="248"/>
      <c r="KD12" s="248"/>
      <c r="KE12" s="248"/>
      <c r="KF12" s="248"/>
      <c r="KG12" s="248"/>
      <c r="KH12" s="248"/>
      <c r="KI12" s="248"/>
      <c r="KJ12" s="248"/>
      <c r="KK12" s="248"/>
      <c r="KL12" s="248"/>
      <c r="KM12" s="248"/>
      <c r="KN12" s="248"/>
      <c r="KO12" s="248"/>
      <c r="KP12" s="248"/>
      <c r="KQ12" s="248"/>
      <c r="KR12" s="248"/>
      <c r="KS12" s="248"/>
      <c r="KT12" s="248"/>
      <c r="KU12" s="248"/>
      <c r="KV12" s="248"/>
      <c r="KW12" s="248"/>
      <c r="KX12" s="248"/>
      <c r="KY12" s="248"/>
      <c r="KZ12" s="248"/>
      <c r="LA12" s="248"/>
      <c r="LB12" s="248"/>
      <c r="LC12" s="248"/>
      <c r="LD12" s="248"/>
      <c r="LE12" s="248"/>
      <c r="LF12" s="248"/>
      <c r="LG12" s="248"/>
      <c r="LH12" s="248"/>
      <c r="LI12" s="248"/>
      <c r="LJ12" s="248"/>
      <c r="LK12" s="248"/>
      <c r="LL12" s="248"/>
      <c r="LM12" s="248"/>
      <c r="LN12" s="248"/>
      <c r="LO12" s="248"/>
      <c r="LP12" s="248"/>
      <c r="LQ12" s="248"/>
      <c r="LR12" s="248"/>
      <c r="LS12" s="248"/>
      <c r="LT12" s="248"/>
      <c r="LU12" s="248"/>
      <c r="LV12" s="248"/>
      <c r="LW12" s="248"/>
      <c r="LX12" s="248"/>
      <c r="LY12" s="248"/>
      <c r="LZ12" s="248"/>
      <c r="MA12" s="248"/>
      <c r="MB12" s="248"/>
      <c r="MC12" s="248"/>
      <c r="MD12" s="248"/>
      <c r="ME12" s="248"/>
      <c r="MF12" s="248"/>
      <c r="MG12" s="248"/>
      <c r="MH12" s="248"/>
      <c r="MI12" s="248"/>
      <c r="MJ12" s="248"/>
      <c r="MK12" s="248"/>
      <c r="ML12" s="248"/>
      <c r="MM12" s="248"/>
      <c r="MN12" s="248"/>
      <c r="MO12" s="248"/>
      <c r="MP12" s="248"/>
      <c r="MQ12" s="248"/>
      <c r="MR12" s="248"/>
      <c r="MS12" s="248"/>
      <c r="MT12" s="248"/>
      <c r="MU12" s="248"/>
      <c r="MV12" s="248"/>
      <c r="MW12" s="248"/>
      <c r="MX12" s="248"/>
      <c r="MY12" s="248"/>
      <c r="MZ12" s="248"/>
      <c r="NA12" s="248"/>
      <c r="NB12" s="248"/>
      <c r="NC12" s="248"/>
      <c r="ND12" s="248"/>
      <c r="NE12" s="248"/>
      <c r="NF12" s="248"/>
      <c r="NG12" s="248"/>
      <c r="NH12" s="248"/>
      <c r="NI12" s="248"/>
      <c r="NJ12" s="248"/>
      <c r="NK12" s="248"/>
      <c r="NL12" s="248"/>
      <c r="NM12" s="248"/>
      <c r="NN12" s="248"/>
      <c r="NO12" s="248"/>
      <c r="NP12" s="248"/>
      <c r="NQ12" s="248"/>
      <c r="NR12" s="248"/>
      <c r="NS12" s="248"/>
      <c r="NT12" s="248"/>
      <c r="NU12" s="248"/>
      <c r="NV12" s="248"/>
      <c r="NW12" s="248"/>
      <c r="NX12" s="248"/>
      <c r="NY12" s="248"/>
      <c r="NZ12" s="248"/>
      <c r="OA12" s="248"/>
      <c r="OB12" s="248"/>
      <c r="OC12" s="248"/>
      <c r="OD12" s="248"/>
      <c r="OE12" s="248"/>
      <c r="OF12" s="248"/>
      <c r="OG12" s="248"/>
      <c r="OH12" s="248"/>
      <c r="OI12" s="248"/>
      <c r="OJ12" s="248"/>
      <c r="OK12" s="248"/>
      <c r="OL12" s="248"/>
      <c r="OM12" s="248"/>
      <c r="ON12" s="248"/>
      <c r="OO12" s="248"/>
      <c r="OP12" s="248"/>
      <c r="OQ12" s="248"/>
      <c r="OR12" s="248"/>
      <c r="OS12" s="248"/>
      <c r="OT12" s="248"/>
      <c r="OU12" s="248"/>
      <c r="OV12" s="248"/>
      <c r="OW12" s="248"/>
      <c r="OX12" s="248"/>
      <c r="OY12" s="248"/>
      <c r="OZ12" s="248"/>
      <c r="PA12" s="248"/>
      <c r="PB12" s="248"/>
      <c r="PC12" s="248"/>
      <c r="PD12" s="248"/>
      <c r="PE12" s="248"/>
      <c r="PF12" s="248"/>
      <c r="PG12" s="248"/>
      <c r="PH12" s="248"/>
      <c r="PI12" s="248"/>
      <c r="PJ12" s="248"/>
      <c r="PK12" s="248"/>
      <c r="PL12" s="248"/>
      <c r="PM12" s="248"/>
      <c r="PN12" s="248"/>
      <c r="PO12" s="248"/>
      <c r="PP12" s="248"/>
      <c r="PQ12" s="248"/>
      <c r="PR12" s="248"/>
      <c r="PS12" s="248"/>
      <c r="PT12" s="248"/>
      <c r="PU12" s="248"/>
      <c r="PV12" s="248"/>
      <c r="PW12" s="248"/>
      <c r="PX12" s="248"/>
      <c r="PY12" s="248"/>
      <c r="PZ12" s="248"/>
      <c r="QA12" s="248"/>
      <c r="QB12" s="248"/>
      <c r="QC12" s="248"/>
      <c r="QD12" s="248"/>
      <c r="QE12" s="248"/>
      <c r="QF12" s="248"/>
      <c r="QG12" s="248"/>
      <c r="QH12" s="248"/>
      <c r="QI12" s="248"/>
      <c r="QJ12" s="248"/>
      <c r="QK12" s="248"/>
      <c r="QL12" s="248"/>
      <c r="QM12" s="248"/>
      <c r="QN12" s="248"/>
      <c r="QO12" s="248"/>
      <c r="QP12" s="248"/>
      <c r="QQ12" s="248"/>
      <c r="QR12" s="248"/>
      <c r="QS12" s="248"/>
      <c r="QT12" s="248"/>
      <c r="QU12" s="248"/>
      <c r="QV12" s="248"/>
      <c r="QW12" s="248"/>
      <c r="QX12" s="248"/>
      <c r="QY12" s="248"/>
      <c r="QZ12" s="248"/>
      <c r="RA12" s="248"/>
      <c r="RB12" s="248"/>
      <c r="RC12" s="248"/>
      <c r="RD12" s="248"/>
      <c r="RE12" s="248"/>
      <c r="RF12" s="248"/>
      <c r="RG12" s="248"/>
      <c r="RH12" s="248"/>
      <c r="RI12" s="248"/>
      <c r="RJ12" s="248"/>
      <c r="RK12" s="248"/>
      <c r="RL12" s="248"/>
      <c r="RM12" s="248"/>
      <c r="RN12" s="248"/>
      <c r="RO12" s="248"/>
      <c r="RP12" s="248"/>
      <c r="RQ12" s="248"/>
      <c r="RR12" s="248"/>
      <c r="RS12" s="248"/>
      <c r="RT12" s="248"/>
      <c r="RU12" s="248"/>
      <c r="RV12" s="248"/>
      <c r="RW12" s="248"/>
      <c r="RX12" s="248"/>
      <c r="RY12" s="248"/>
      <c r="RZ12" s="248"/>
      <c r="SA12" s="248"/>
      <c r="SB12" s="248"/>
      <c r="SC12" s="248"/>
      <c r="SD12" s="248"/>
      <c r="SE12" s="248"/>
      <c r="SF12" s="248"/>
      <c r="SG12" s="248"/>
      <c r="SH12" s="248"/>
      <c r="SI12" s="248"/>
      <c r="SJ12" s="248"/>
      <c r="SK12" s="248"/>
      <c r="SL12" s="248"/>
      <c r="SM12" s="248"/>
      <c r="SN12" s="248"/>
      <c r="SO12" s="248"/>
      <c r="SP12" s="248"/>
      <c r="SQ12" s="248"/>
      <c r="SR12" s="248"/>
      <c r="SS12" s="248"/>
      <c r="ST12" s="248"/>
      <c r="SU12" s="248"/>
      <c r="SV12" s="248"/>
      <c r="SW12" s="248"/>
      <c r="SX12" s="248"/>
      <c r="SY12" s="248"/>
      <c r="SZ12" s="248"/>
      <c r="TA12" s="248"/>
      <c r="TB12" s="248"/>
      <c r="TC12" s="248"/>
      <c r="TD12" s="248"/>
      <c r="TE12" s="248"/>
      <c r="TF12" s="248"/>
      <c r="TG12" s="248"/>
      <c r="TH12" s="248"/>
      <c r="TI12" s="248"/>
      <c r="TJ12" s="248"/>
      <c r="TK12" s="248"/>
      <c r="TL12" s="248"/>
      <c r="TM12" s="248"/>
      <c r="TN12" s="248"/>
      <c r="TO12" s="248"/>
      <c r="TP12" s="248"/>
      <c r="TQ12" s="248"/>
      <c r="TR12" s="248"/>
      <c r="TS12" s="248"/>
      <c r="TT12" s="248"/>
      <c r="TU12" s="248"/>
      <c r="TV12" s="248"/>
      <c r="TW12" s="248"/>
      <c r="TX12" s="248"/>
      <c r="TY12" s="248"/>
      <c r="TZ12" s="248"/>
      <c r="UA12" s="248"/>
      <c r="UB12" s="248"/>
      <c r="UC12" s="248"/>
      <c r="UD12" s="248"/>
      <c r="UE12" s="248"/>
      <c r="UF12" s="248"/>
      <c r="UG12" s="248"/>
      <c r="UH12" s="248"/>
      <c r="UI12" s="248"/>
      <c r="UJ12" s="248"/>
      <c r="UK12" s="248"/>
      <c r="UL12" s="248"/>
      <c r="UM12" s="248"/>
      <c r="UN12" s="248"/>
      <c r="UO12" s="248"/>
      <c r="UP12" s="248"/>
      <c r="UQ12" s="248"/>
      <c r="UR12" s="248"/>
      <c r="US12" s="248"/>
      <c r="UT12" s="248"/>
      <c r="UU12" s="248"/>
      <c r="UV12" s="248"/>
      <c r="UW12" s="248"/>
      <c r="UX12" s="248"/>
      <c r="UY12" s="248"/>
      <c r="UZ12" s="248"/>
      <c r="VA12" s="248"/>
      <c r="VB12" s="248"/>
      <c r="VC12" s="248"/>
      <c r="VD12" s="248"/>
      <c r="VE12" s="248"/>
      <c r="VF12" s="248"/>
      <c r="VG12" s="248"/>
      <c r="VH12" s="248"/>
      <c r="VI12" s="248"/>
      <c r="VJ12" s="248"/>
      <c r="VK12" s="248"/>
      <c r="VL12" s="248"/>
      <c r="VM12" s="248"/>
      <c r="VN12" s="248"/>
      <c r="VO12" s="248"/>
      <c r="VP12" s="248"/>
      <c r="VQ12" s="248"/>
      <c r="VR12" s="248"/>
      <c r="VS12" s="248"/>
      <c r="VT12" s="248"/>
      <c r="VU12" s="248"/>
      <c r="VV12" s="248"/>
      <c r="VW12" s="248"/>
      <c r="VX12" s="248"/>
      <c r="VY12" s="248"/>
      <c r="VZ12" s="248"/>
      <c r="WA12" s="248"/>
      <c r="WB12" s="248"/>
      <c r="WC12" s="248"/>
      <c r="WD12" s="248"/>
      <c r="WE12" s="248"/>
      <c r="WF12" s="248"/>
      <c r="WG12" s="248"/>
      <c r="WH12" s="248"/>
      <c r="WI12" s="248"/>
      <c r="WJ12" s="248"/>
      <c r="WK12" s="248"/>
      <c r="WL12" s="248"/>
      <c r="WM12" s="248"/>
      <c r="WN12" s="248"/>
      <c r="WO12" s="248"/>
      <c r="WP12" s="248"/>
      <c r="WQ12" s="248"/>
      <c r="WR12" s="248"/>
      <c r="WS12" s="248"/>
      <c r="WT12" s="248"/>
      <c r="WU12" s="248"/>
      <c r="WV12" s="248"/>
      <c r="WW12" s="248"/>
      <c r="WX12" s="248"/>
      <c r="WY12" s="248"/>
      <c r="WZ12" s="248"/>
      <c r="XA12" s="248"/>
      <c r="XB12" s="248"/>
      <c r="XC12" s="248"/>
      <c r="XD12" s="248"/>
      <c r="XE12" s="248"/>
      <c r="XF12" s="248"/>
      <c r="XG12" s="248"/>
      <c r="XH12" s="248"/>
      <c r="XI12" s="248"/>
      <c r="XJ12" s="248"/>
      <c r="XK12" s="248"/>
      <c r="XL12" s="248"/>
      <c r="XM12" s="248"/>
      <c r="XN12" s="248"/>
      <c r="XO12" s="248"/>
      <c r="XP12" s="248"/>
      <c r="XQ12" s="248"/>
      <c r="XR12" s="248"/>
      <c r="XS12" s="248"/>
      <c r="XT12" s="248"/>
      <c r="XU12" s="248"/>
      <c r="XV12" s="248"/>
      <c r="XW12" s="248"/>
      <c r="XX12" s="248"/>
      <c r="XY12" s="248"/>
      <c r="XZ12" s="248"/>
      <c r="YA12" s="248"/>
      <c r="YB12" s="248"/>
      <c r="YC12" s="248"/>
      <c r="YD12" s="248"/>
      <c r="YE12" s="248"/>
      <c r="YF12" s="248"/>
      <c r="YG12" s="248"/>
      <c r="YH12" s="248"/>
      <c r="YI12" s="248"/>
      <c r="YJ12" s="248"/>
      <c r="YK12" s="248"/>
      <c r="YL12" s="248"/>
      <c r="YM12" s="248"/>
      <c r="YN12" s="248"/>
      <c r="YO12" s="248"/>
      <c r="YP12" s="248"/>
      <c r="YQ12" s="248"/>
      <c r="YR12" s="248"/>
      <c r="YS12" s="248"/>
      <c r="YT12" s="248"/>
      <c r="YU12" s="248"/>
      <c r="YV12" s="248"/>
      <c r="YW12" s="248"/>
      <c r="YX12" s="248"/>
      <c r="YY12" s="248"/>
      <c r="YZ12" s="248"/>
      <c r="ZA12" s="248"/>
      <c r="ZB12" s="248"/>
      <c r="ZC12" s="248"/>
      <c r="ZD12" s="248"/>
      <c r="ZE12" s="248"/>
      <c r="ZF12" s="248"/>
      <c r="ZG12" s="248"/>
      <c r="ZH12" s="248"/>
      <c r="ZI12" s="248"/>
      <c r="ZJ12" s="248"/>
      <c r="ZK12" s="248"/>
      <c r="ZL12" s="248"/>
      <c r="ZM12" s="248"/>
      <c r="ZN12" s="248"/>
      <c r="ZO12" s="248"/>
      <c r="ZP12" s="248"/>
      <c r="ZQ12" s="248"/>
      <c r="ZR12" s="248"/>
      <c r="ZS12" s="248"/>
      <c r="ZT12" s="248"/>
      <c r="ZU12" s="248"/>
      <c r="ZV12" s="248"/>
      <c r="ZW12" s="248"/>
      <c r="ZX12" s="248"/>
      <c r="ZY12" s="248"/>
      <c r="ZZ12" s="248"/>
      <c r="AAA12" s="248"/>
      <c r="AAB12" s="248"/>
      <c r="AAC12" s="248"/>
      <c r="AAD12" s="248"/>
      <c r="AAE12" s="248"/>
      <c r="AAF12" s="248"/>
      <c r="AAG12" s="248"/>
      <c r="AAH12" s="248"/>
      <c r="AAI12" s="248"/>
      <c r="AAJ12" s="248"/>
      <c r="AAK12" s="248"/>
      <c r="AAL12" s="248"/>
      <c r="AAM12" s="248"/>
      <c r="AAN12" s="248"/>
      <c r="AAO12" s="248"/>
      <c r="AAP12" s="248"/>
      <c r="AAQ12" s="248"/>
      <c r="AAR12" s="248"/>
      <c r="AAS12" s="248"/>
      <c r="AAT12" s="248"/>
      <c r="AAU12" s="248"/>
      <c r="AAV12" s="248"/>
      <c r="AAW12" s="248"/>
      <c r="AAX12" s="248"/>
      <c r="AAY12" s="248"/>
      <c r="AAZ12" s="248"/>
      <c r="ABA12" s="248"/>
      <c r="ABB12" s="248"/>
      <c r="ABC12" s="248"/>
      <c r="ABD12" s="248"/>
      <c r="ABE12" s="248"/>
      <c r="ABF12" s="248"/>
      <c r="ABG12" s="248"/>
      <c r="ABH12" s="248"/>
      <c r="ABI12" s="248"/>
      <c r="ABJ12" s="248"/>
      <c r="ABK12" s="248"/>
      <c r="ABL12" s="248"/>
      <c r="ABM12" s="248"/>
      <c r="ABN12" s="248"/>
      <c r="ABO12" s="248"/>
      <c r="ABP12" s="248"/>
      <c r="ABQ12" s="248"/>
      <c r="ABR12" s="248"/>
      <c r="ABS12" s="248"/>
      <c r="ABT12" s="248"/>
      <c r="ABU12" s="248"/>
      <c r="ABV12" s="248"/>
      <c r="ABW12" s="248"/>
      <c r="ABX12" s="248"/>
      <c r="ABY12" s="248"/>
      <c r="ABZ12" s="248"/>
      <c r="ACA12" s="248"/>
      <c r="ACB12" s="248"/>
      <c r="ACC12" s="248"/>
      <c r="ACD12" s="248"/>
      <c r="ACE12" s="248"/>
      <c r="ACF12" s="248"/>
      <c r="ACG12" s="248"/>
      <c r="ACH12" s="248"/>
      <c r="ACI12" s="248"/>
      <c r="ACJ12" s="248"/>
      <c r="ACK12" s="248"/>
      <c r="ACL12" s="248"/>
      <c r="ACM12" s="248"/>
      <c r="ACN12" s="248"/>
      <c r="ACO12" s="248"/>
      <c r="ACP12" s="248"/>
      <c r="ACQ12" s="248"/>
      <c r="ACR12" s="248"/>
      <c r="ACS12" s="248"/>
      <c r="ACT12" s="248"/>
      <c r="ACU12" s="248"/>
      <c r="ACV12" s="248"/>
      <c r="ACW12" s="248"/>
      <c r="ACX12" s="248"/>
      <c r="ACY12" s="248"/>
      <c r="ACZ12" s="248"/>
      <c r="ADA12" s="248"/>
      <c r="ADB12" s="248"/>
      <c r="ADC12" s="248"/>
      <c r="ADD12" s="248"/>
      <c r="ADE12" s="248"/>
      <c r="ADF12" s="248"/>
      <c r="ADG12" s="248"/>
      <c r="ADH12" s="248"/>
      <c r="ADI12" s="248"/>
      <c r="ADJ12" s="248"/>
      <c r="ADK12" s="248"/>
      <c r="ADL12" s="248"/>
      <c r="ADM12" s="248"/>
      <c r="ADN12" s="248"/>
      <c r="ADO12" s="248"/>
      <c r="ADP12" s="248"/>
      <c r="ADQ12" s="248"/>
      <c r="ADR12" s="248"/>
      <c r="ADS12" s="248"/>
      <c r="ADT12" s="248"/>
      <c r="ADU12" s="248"/>
      <c r="ADV12" s="248"/>
      <c r="ADW12" s="248"/>
      <c r="ADX12" s="248"/>
      <c r="ADY12" s="248"/>
      <c r="ADZ12" s="248"/>
      <c r="AEA12" s="248"/>
      <c r="AEB12" s="248"/>
      <c r="AEC12" s="248"/>
      <c r="AED12" s="248"/>
      <c r="AEE12" s="248"/>
      <c r="AEF12" s="248"/>
      <c r="AEG12" s="248"/>
      <c r="AEH12" s="248"/>
      <c r="AEI12" s="248"/>
      <c r="AEJ12" s="248"/>
      <c r="AEK12" s="248"/>
      <c r="AEL12" s="248"/>
      <c r="AEM12" s="248"/>
      <c r="AEN12" s="248"/>
      <c r="AEO12" s="248"/>
      <c r="AEP12" s="248"/>
      <c r="AEQ12" s="248"/>
      <c r="AER12" s="248"/>
      <c r="AES12" s="248"/>
      <c r="AET12" s="248"/>
      <c r="AEU12" s="248"/>
      <c r="AEV12" s="248"/>
      <c r="AEW12" s="248"/>
      <c r="AEX12" s="248"/>
      <c r="AEY12" s="248"/>
      <c r="AEZ12" s="248"/>
      <c r="AFA12" s="248"/>
      <c r="AFB12" s="248"/>
      <c r="AFC12" s="248"/>
      <c r="AFD12" s="248"/>
      <c r="AFE12" s="248"/>
      <c r="AFF12" s="248"/>
      <c r="AFG12" s="248"/>
      <c r="AFH12" s="248"/>
      <c r="AFI12" s="248"/>
      <c r="AFJ12" s="248"/>
      <c r="AFK12" s="248"/>
      <c r="AFL12" s="248"/>
      <c r="AFM12" s="248"/>
      <c r="AFN12" s="248"/>
      <c r="AFO12" s="248"/>
      <c r="AFP12" s="248"/>
      <c r="AFQ12" s="248"/>
      <c r="AFR12" s="248"/>
      <c r="AFS12" s="248"/>
      <c r="AFT12" s="248"/>
      <c r="AFU12" s="248"/>
      <c r="AFV12" s="248"/>
      <c r="AFW12" s="248"/>
      <c r="AFX12" s="248"/>
      <c r="AFY12" s="248"/>
      <c r="AFZ12" s="248"/>
      <c r="AGA12" s="248"/>
      <c r="AGB12" s="248"/>
      <c r="AGC12" s="248"/>
      <c r="AGD12" s="248"/>
      <c r="AGE12" s="248"/>
      <c r="AGF12" s="248"/>
      <c r="AGG12" s="248"/>
      <c r="AGH12" s="248"/>
      <c r="AGI12" s="248"/>
      <c r="AGJ12" s="248"/>
      <c r="AGK12" s="248"/>
      <c r="AGL12" s="248"/>
      <c r="AGM12" s="248"/>
      <c r="AGN12" s="248"/>
      <c r="AGO12" s="248"/>
      <c r="AGP12" s="248"/>
      <c r="AGQ12" s="248"/>
      <c r="AGR12" s="248"/>
      <c r="AGS12" s="248"/>
      <c r="AGT12" s="248"/>
      <c r="AGU12" s="248"/>
      <c r="AGV12" s="248"/>
      <c r="AGW12" s="248"/>
      <c r="AGX12" s="248"/>
      <c r="AGY12" s="248"/>
      <c r="AGZ12" s="248"/>
      <c r="AHA12" s="248"/>
      <c r="AHB12" s="248"/>
      <c r="AHC12" s="248"/>
      <c r="AHD12" s="248"/>
      <c r="AHE12" s="248"/>
      <c r="AHF12" s="248"/>
      <c r="AHG12" s="248"/>
      <c r="AHH12" s="248"/>
      <c r="AHI12" s="248"/>
      <c r="AHJ12" s="248"/>
      <c r="AHK12" s="248"/>
      <c r="AHL12" s="248"/>
      <c r="AHM12" s="248"/>
      <c r="AHN12" s="248"/>
      <c r="AHO12" s="248"/>
      <c r="AHP12" s="248"/>
      <c r="AHQ12" s="248"/>
      <c r="AHR12" s="248"/>
      <c r="AHS12" s="248"/>
      <c r="AHT12" s="248"/>
      <c r="AHU12" s="248"/>
      <c r="AHV12" s="248"/>
      <c r="AHW12" s="248"/>
      <c r="AHX12" s="248"/>
      <c r="AHY12" s="248"/>
      <c r="AHZ12" s="248"/>
      <c r="AIA12" s="248"/>
      <c r="AIB12" s="248"/>
      <c r="AIC12" s="248"/>
      <c r="AID12" s="248"/>
      <c r="AIE12" s="248"/>
      <c r="AIF12" s="248"/>
      <c r="AIG12" s="248"/>
      <c r="AIH12" s="248"/>
      <c r="AII12" s="248"/>
      <c r="AIJ12" s="248"/>
      <c r="AIK12" s="248"/>
      <c r="AIL12" s="248"/>
      <c r="AIM12" s="248"/>
      <c r="AIN12" s="248"/>
      <c r="AIO12" s="248"/>
      <c r="AIP12" s="248"/>
      <c r="AIQ12" s="248"/>
      <c r="AIR12" s="248"/>
      <c r="AIS12" s="248"/>
      <c r="AIT12" s="248"/>
      <c r="AIU12" s="248"/>
      <c r="AIV12" s="248"/>
      <c r="AIW12" s="248"/>
      <c r="AIX12" s="248"/>
      <c r="AIY12" s="248"/>
      <c r="AIZ12" s="248"/>
      <c r="AJA12" s="248"/>
      <c r="AJB12" s="248"/>
      <c r="AJC12" s="248"/>
      <c r="AJD12" s="248"/>
      <c r="AJE12" s="248"/>
      <c r="AJF12" s="248"/>
      <c r="AJG12" s="248"/>
      <c r="AJH12" s="248"/>
      <c r="AJI12" s="248"/>
      <c r="AJJ12" s="248"/>
      <c r="AJK12" s="248"/>
      <c r="AJL12" s="248"/>
      <c r="AJM12" s="248"/>
      <c r="AJN12" s="248"/>
      <c r="AJO12" s="248"/>
      <c r="AJP12" s="248"/>
      <c r="AJQ12" s="248"/>
      <c r="AJR12" s="248"/>
      <c r="AJS12" s="248"/>
      <c r="AJT12" s="248"/>
      <c r="AJU12" s="248"/>
      <c r="AJV12" s="248"/>
      <c r="AJW12" s="248"/>
      <c r="AJX12" s="248"/>
      <c r="AJY12" s="248"/>
      <c r="AJZ12" s="248"/>
      <c r="AKA12" s="248"/>
      <c r="AKB12" s="248"/>
      <c r="AKC12" s="248"/>
      <c r="AKD12" s="248"/>
      <c r="AKE12" s="248"/>
      <c r="AKF12" s="248"/>
      <c r="AKG12" s="248"/>
      <c r="AKH12" s="248"/>
      <c r="AKI12" s="248"/>
      <c r="AKJ12" s="248"/>
      <c r="AKK12" s="248"/>
      <c r="AKL12" s="248"/>
      <c r="AKM12" s="248"/>
      <c r="AKN12" s="248"/>
      <c r="AKO12" s="248"/>
      <c r="AKP12" s="248"/>
      <c r="AKQ12" s="248"/>
      <c r="AKR12" s="248"/>
      <c r="AKS12" s="248"/>
      <c r="AKT12" s="248"/>
      <c r="AKU12" s="248"/>
      <c r="AKV12" s="248"/>
      <c r="AKW12" s="248"/>
      <c r="AKX12" s="248"/>
      <c r="AKY12" s="248"/>
      <c r="AKZ12" s="248"/>
      <c r="ALA12" s="248"/>
      <c r="ALB12" s="248"/>
      <c r="ALC12" s="248"/>
      <c r="ALD12" s="248"/>
      <c r="ALE12" s="248"/>
      <c r="ALF12" s="248"/>
      <c r="ALG12" s="248"/>
      <c r="ALH12" s="248"/>
      <c r="ALI12" s="248"/>
      <c r="ALJ12" s="248"/>
      <c r="ALK12" s="248"/>
      <c r="ALL12" s="248"/>
      <c r="ALM12" s="248"/>
      <c r="ALN12" s="248"/>
      <c r="ALO12" s="248"/>
      <c r="ALP12" s="248"/>
      <c r="ALQ12" s="248"/>
      <c r="ALR12" s="248"/>
      <c r="ALS12" s="248"/>
      <c r="ALT12" s="248"/>
      <c r="ALU12" s="248"/>
      <c r="ALV12" s="248"/>
      <c r="ALW12" s="248"/>
      <c r="ALX12" s="248"/>
      <c r="ALY12" s="248"/>
      <c r="ALZ12" s="248"/>
      <c r="AMA12" s="248"/>
      <c r="AMB12" s="248"/>
      <c r="AMC12" s="248"/>
      <c r="AMD12" s="248"/>
      <c r="AME12" s="248"/>
      <c r="AMF12" s="248"/>
      <c r="AMG12" s="248"/>
      <c r="AMH12" s="248"/>
      <c r="AMI12" s="248"/>
      <c r="AMJ12" s="248"/>
      <c r="AMK12" s="248"/>
      <c r="AML12" s="248"/>
      <c r="AMM12" s="248"/>
      <c r="AMN12" s="248"/>
      <c r="AMO12" s="248"/>
      <c r="AMP12" s="248"/>
      <c r="AMQ12" s="248"/>
      <c r="AMR12" s="248"/>
      <c r="AMS12" s="248"/>
      <c r="AMT12" s="248"/>
      <c r="AMU12" s="248"/>
      <c r="AMV12" s="248"/>
      <c r="AMW12" s="248"/>
      <c r="AMX12" s="248"/>
      <c r="AMY12" s="248"/>
      <c r="AMZ12" s="248"/>
      <c r="ANA12" s="248"/>
      <c r="ANB12" s="248"/>
      <c r="ANC12" s="248"/>
      <c r="AND12" s="248"/>
      <c r="ANE12" s="248"/>
      <c r="ANF12" s="248"/>
      <c r="ANG12" s="248"/>
      <c r="ANH12" s="248"/>
      <c r="ANI12" s="248"/>
      <c r="ANJ12" s="248"/>
      <c r="ANK12" s="248"/>
      <c r="ANL12" s="248"/>
      <c r="ANM12" s="248"/>
      <c r="ANN12" s="248"/>
      <c r="ANO12" s="248"/>
      <c r="ANP12" s="248"/>
      <c r="ANQ12" s="248"/>
      <c r="ANR12" s="248"/>
      <c r="ANS12" s="248"/>
      <c r="ANT12" s="248"/>
      <c r="ANU12" s="248"/>
      <c r="ANV12" s="248"/>
      <c r="ANW12" s="248"/>
      <c r="ANX12" s="248"/>
      <c r="ANY12" s="248"/>
      <c r="ANZ12" s="248"/>
      <c r="AOA12" s="248"/>
      <c r="AOB12" s="248"/>
      <c r="AOC12" s="248"/>
      <c r="AOD12" s="248"/>
      <c r="AOE12" s="248"/>
      <c r="AOF12" s="248"/>
      <c r="AOG12" s="248"/>
      <c r="AOH12" s="248"/>
      <c r="AOI12" s="248"/>
      <c r="AOJ12" s="248"/>
      <c r="AOK12" s="248"/>
      <c r="AOL12" s="248"/>
      <c r="AOM12" s="248"/>
      <c r="AON12" s="248"/>
      <c r="AOO12" s="248"/>
      <c r="AOP12" s="248"/>
      <c r="AOQ12" s="248"/>
      <c r="AOR12" s="248"/>
      <c r="AOS12" s="248"/>
      <c r="AOT12" s="248"/>
      <c r="AOU12" s="248"/>
      <c r="AOV12" s="248"/>
      <c r="AOW12" s="248"/>
      <c r="AOX12" s="248"/>
      <c r="AOY12" s="248"/>
      <c r="AOZ12" s="248"/>
      <c r="APA12" s="248"/>
      <c r="APB12" s="248"/>
      <c r="APC12" s="248"/>
      <c r="APD12" s="248"/>
      <c r="APE12" s="248"/>
      <c r="APF12" s="248"/>
      <c r="APG12" s="248"/>
      <c r="APH12" s="248"/>
      <c r="API12" s="248"/>
      <c r="APJ12" s="248"/>
      <c r="APK12" s="248"/>
      <c r="APL12" s="248"/>
      <c r="APM12" s="248"/>
      <c r="APN12" s="248"/>
      <c r="APO12" s="248"/>
      <c r="APP12" s="248"/>
      <c r="APQ12" s="248"/>
      <c r="APR12" s="248"/>
      <c r="APS12" s="248"/>
      <c r="APT12" s="248"/>
      <c r="APU12" s="248"/>
      <c r="APV12" s="248"/>
      <c r="APW12" s="248"/>
      <c r="APX12" s="248"/>
      <c r="APY12" s="248"/>
      <c r="APZ12" s="248"/>
      <c r="AQA12" s="248"/>
      <c r="AQB12" s="248"/>
      <c r="AQC12" s="248"/>
      <c r="AQD12" s="248"/>
      <c r="AQE12" s="248"/>
      <c r="AQF12" s="248"/>
      <c r="AQG12" s="248"/>
      <c r="AQH12" s="248"/>
      <c r="AQI12" s="248"/>
      <c r="AQJ12" s="248"/>
      <c r="AQK12" s="248"/>
      <c r="AQL12" s="248"/>
      <c r="AQM12" s="248"/>
      <c r="AQN12" s="248"/>
      <c r="AQO12" s="248"/>
      <c r="AQP12" s="248"/>
      <c r="AQQ12" s="248"/>
      <c r="AQR12" s="248"/>
      <c r="AQS12" s="248"/>
      <c r="AQT12" s="248"/>
      <c r="AQU12" s="248"/>
      <c r="AQV12" s="248"/>
      <c r="AQW12" s="248"/>
      <c r="AQX12" s="248"/>
      <c r="AQY12" s="248"/>
      <c r="AQZ12" s="248"/>
      <c r="ARA12" s="248"/>
      <c r="ARB12" s="248"/>
      <c r="ARC12" s="248"/>
      <c r="ARD12" s="248"/>
      <c r="ARE12" s="248"/>
      <c r="ARF12" s="248"/>
      <c r="ARG12" s="248"/>
      <c r="ARH12" s="248"/>
      <c r="ARI12" s="248"/>
      <c r="ARJ12" s="248"/>
      <c r="ARK12" s="248"/>
      <c r="ARL12" s="248"/>
      <c r="ARM12" s="248"/>
      <c r="ARN12" s="248"/>
      <c r="ARO12" s="248"/>
      <c r="ARP12" s="248"/>
      <c r="ARQ12" s="248"/>
      <c r="ARR12" s="248"/>
      <c r="ARS12" s="248"/>
      <c r="ART12" s="248"/>
      <c r="ARU12" s="248"/>
      <c r="ARV12" s="248"/>
      <c r="ARW12" s="248"/>
      <c r="ARX12" s="248"/>
      <c r="ARY12" s="248"/>
      <c r="ARZ12" s="248"/>
      <c r="ASA12" s="248"/>
      <c r="ASB12" s="248"/>
      <c r="ASC12" s="248"/>
      <c r="ASD12" s="248"/>
      <c r="ASE12" s="248"/>
      <c r="ASF12" s="248"/>
      <c r="ASG12" s="248"/>
      <c r="ASH12" s="248"/>
      <c r="ASI12" s="248"/>
      <c r="ASJ12" s="248"/>
      <c r="ASK12" s="248"/>
      <c r="ASL12" s="248"/>
      <c r="ASM12" s="248"/>
      <c r="ASN12" s="248"/>
      <c r="ASO12" s="248"/>
      <c r="ASP12" s="248"/>
      <c r="ASQ12" s="248"/>
      <c r="ASR12" s="248"/>
      <c r="ASS12" s="248"/>
      <c r="AST12" s="248"/>
      <c r="ASU12" s="248"/>
      <c r="ASV12" s="248"/>
      <c r="ASW12" s="248"/>
      <c r="ASX12" s="248"/>
      <c r="ASY12" s="248"/>
      <c r="ASZ12" s="248"/>
      <c r="ATA12" s="248"/>
      <c r="ATB12" s="248"/>
      <c r="ATC12" s="248"/>
      <c r="ATD12" s="248"/>
      <c r="ATE12" s="248"/>
      <c r="ATF12" s="248"/>
      <c r="ATG12" s="248"/>
      <c r="ATH12" s="248"/>
      <c r="ATI12" s="248"/>
      <c r="ATJ12" s="248"/>
      <c r="ATK12" s="248"/>
      <c r="ATL12" s="248"/>
      <c r="ATM12" s="248"/>
      <c r="ATN12" s="248"/>
      <c r="ATO12" s="248"/>
      <c r="ATP12" s="248"/>
      <c r="ATQ12" s="248"/>
      <c r="ATR12" s="248"/>
      <c r="ATS12" s="248"/>
      <c r="ATT12" s="248"/>
      <c r="ATU12" s="248"/>
      <c r="ATV12" s="248"/>
      <c r="ATW12" s="248"/>
      <c r="ATX12" s="248"/>
      <c r="ATY12" s="248"/>
      <c r="ATZ12" s="248"/>
      <c r="AUA12" s="248"/>
      <c r="AUB12" s="248"/>
      <c r="AUC12" s="248"/>
      <c r="AUD12" s="248"/>
      <c r="AUE12" s="248"/>
      <c r="AUF12" s="248"/>
      <c r="AUG12" s="248"/>
      <c r="AUH12" s="248"/>
      <c r="AUI12" s="248"/>
      <c r="AUJ12" s="248"/>
      <c r="AUK12" s="248"/>
      <c r="AUL12" s="248"/>
      <c r="AUM12" s="248"/>
      <c r="AUN12" s="248"/>
      <c r="AUO12" s="248"/>
      <c r="AUP12" s="248"/>
      <c r="AUQ12" s="248"/>
      <c r="AUR12" s="248"/>
      <c r="AUS12" s="248"/>
      <c r="AUT12" s="248"/>
      <c r="AUU12" s="248"/>
      <c r="AUV12" s="248"/>
      <c r="AUW12" s="248"/>
      <c r="AUX12" s="248"/>
      <c r="AUY12" s="248"/>
      <c r="AUZ12" s="248"/>
      <c r="AVA12" s="248"/>
      <c r="AVB12" s="248"/>
      <c r="AVC12" s="248"/>
      <c r="AVD12" s="248"/>
      <c r="AVE12" s="248"/>
      <c r="AVF12" s="248"/>
      <c r="AVG12" s="248"/>
      <c r="AVH12" s="248"/>
      <c r="AVI12" s="248"/>
      <c r="AVJ12" s="248"/>
      <c r="AVK12" s="248"/>
      <c r="AVL12" s="248"/>
      <c r="AVM12" s="248"/>
      <c r="AVN12" s="248"/>
      <c r="AVO12" s="248"/>
      <c r="AVP12" s="248"/>
      <c r="AVQ12" s="248"/>
      <c r="AVR12" s="248"/>
      <c r="AVS12" s="248"/>
      <c r="AVT12" s="248"/>
      <c r="AVU12" s="248"/>
      <c r="AVV12" s="248"/>
      <c r="AVW12" s="248"/>
      <c r="AVX12" s="248"/>
      <c r="AVY12" s="248"/>
      <c r="AVZ12" s="248"/>
      <c r="AWA12" s="248"/>
      <c r="AWB12" s="248"/>
      <c r="AWC12" s="248"/>
      <c r="AWD12" s="248"/>
      <c r="AWE12" s="248"/>
      <c r="AWF12" s="248"/>
      <c r="AWG12" s="248"/>
      <c r="AWH12" s="248"/>
      <c r="AWI12" s="248"/>
      <c r="AWJ12" s="248"/>
      <c r="AWK12" s="248"/>
      <c r="AWL12" s="248"/>
      <c r="AWM12" s="248"/>
      <c r="AWN12" s="248"/>
      <c r="AWO12" s="248"/>
      <c r="AWP12" s="248"/>
      <c r="AWQ12" s="248"/>
      <c r="AWR12" s="248"/>
      <c r="AWS12" s="248"/>
      <c r="AWT12" s="248"/>
      <c r="AWU12" s="248"/>
      <c r="AWV12" s="248"/>
      <c r="AWW12" s="248"/>
      <c r="AWX12" s="248"/>
      <c r="AWY12" s="248"/>
      <c r="AWZ12" s="248"/>
      <c r="AXA12" s="248"/>
      <c r="AXB12" s="248"/>
      <c r="AXC12" s="248"/>
      <c r="AXD12" s="248"/>
      <c r="AXE12" s="248"/>
      <c r="AXF12" s="248"/>
      <c r="AXG12" s="248"/>
      <c r="AXH12" s="248"/>
      <c r="AXI12" s="248"/>
      <c r="AXJ12" s="248"/>
      <c r="AXK12" s="248"/>
      <c r="AXL12" s="248"/>
      <c r="AXM12" s="248"/>
      <c r="AXN12" s="248"/>
      <c r="AXO12" s="248"/>
      <c r="AXP12" s="248"/>
      <c r="AXQ12" s="248"/>
      <c r="AXR12" s="248"/>
      <c r="AXS12" s="248"/>
      <c r="AXT12" s="248"/>
      <c r="AXU12" s="248"/>
      <c r="AXV12" s="248"/>
      <c r="AXW12" s="248"/>
      <c r="AXX12" s="248"/>
      <c r="AXY12" s="248"/>
      <c r="AXZ12" s="248"/>
      <c r="AYA12" s="248"/>
      <c r="AYB12" s="248"/>
      <c r="AYC12" s="248"/>
      <c r="AYD12" s="248"/>
      <c r="AYE12" s="248"/>
      <c r="AYF12" s="248"/>
      <c r="AYG12" s="248"/>
      <c r="AYH12" s="248"/>
      <c r="AYI12" s="248"/>
      <c r="AYJ12" s="248"/>
      <c r="AYK12" s="248"/>
      <c r="AYL12" s="248"/>
      <c r="AYM12" s="248"/>
      <c r="AYN12" s="248"/>
      <c r="AYO12" s="248"/>
      <c r="AYP12" s="248"/>
      <c r="AYQ12" s="248"/>
      <c r="AYR12" s="248"/>
      <c r="AYS12" s="248"/>
      <c r="AYT12" s="248"/>
      <c r="AYU12" s="248"/>
      <c r="AYV12" s="248"/>
      <c r="AYW12" s="248"/>
      <c r="AYX12" s="248"/>
      <c r="AYY12" s="248"/>
      <c r="AYZ12" s="248"/>
      <c r="AZA12" s="248"/>
      <c r="AZB12" s="248"/>
      <c r="AZC12" s="248"/>
      <c r="AZD12" s="248"/>
      <c r="AZE12" s="248"/>
      <c r="AZF12" s="248"/>
      <c r="AZG12" s="248"/>
      <c r="AZH12" s="248"/>
      <c r="AZI12" s="248"/>
      <c r="AZJ12" s="248"/>
      <c r="AZK12" s="248"/>
      <c r="AZL12" s="248"/>
      <c r="AZM12" s="248"/>
      <c r="AZN12" s="248"/>
      <c r="AZO12" s="248"/>
      <c r="AZP12" s="248"/>
      <c r="AZQ12" s="248"/>
      <c r="AZR12" s="248"/>
      <c r="AZS12" s="248"/>
      <c r="AZT12" s="248"/>
      <c r="AZU12" s="248"/>
      <c r="AZV12" s="248"/>
      <c r="AZW12" s="248"/>
      <c r="AZX12" s="248"/>
      <c r="AZY12" s="248"/>
      <c r="AZZ12" s="248"/>
      <c r="BAA12" s="248"/>
      <c r="BAB12" s="248"/>
      <c r="BAC12" s="248"/>
      <c r="BAD12" s="248"/>
      <c r="BAE12" s="248"/>
      <c r="BAF12" s="248"/>
      <c r="BAG12" s="248"/>
      <c r="BAH12" s="248"/>
      <c r="BAI12" s="248"/>
      <c r="BAJ12" s="248"/>
      <c r="BAK12" s="248"/>
      <c r="BAL12" s="248"/>
      <c r="BAM12" s="248"/>
      <c r="BAN12" s="248"/>
      <c r="BAO12" s="248"/>
      <c r="BAP12" s="248"/>
      <c r="BAQ12" s="248"/>
      <c r="BAR12" s="248"/>
      <c r="BAS12" s="248"/>
      <c r="BAT12" s="248"/>
      <c r="BAU12" s="248"/>
      <c r="BAV12" s="248"/>
      <c r="BAW12" s="248"/>
      <c r="BAX12" s="248"/>
      <c r="BAY12" s="248"/>
      <c r="BAZ12" s="248"/>
      <c r="BBA12" s="248"/>
      <c r="BBB12" s="248"/>
      <c r="BBC12" s="248"/>
      <c r="BBD12" s="248"/>
      <c r="BBE12" s="248"/>
      <c r="BBF12" s="248"/>
      <c r="BBG12" s="248"/>
      <c r="BBH12" s="248"/>
      <c r="BBI12" s="248"/>
      <c r="BBJ12" s="248"/>
      <c r="BBK12" s="248"/>
      <c r="BBL12" s="248"/>
      <c r="BBM12" s="248"/>
      <c r="BBN12" s="248"/>
      <c r="BBO12" s="248"/>
      <c r="BBP12" s="248"/>
      <c r="BBQ12" s="248"/>
      <c r="BBR12" s="248"/>
      <c r="BBS12" s="248"/>
      <c r="BBT12" s="248"/>
      <c r="BBU12" s="248"/>
      <c r="BBV12" s="248"/>
      <c r="BBW12" s="248"/>
      <c r="BBX12" s="248"/>
      <c r="BBY12" s="248"/>
      <c r="BBZ12" s="248"/>
      <c r="BCA12" s="248"/>
      <c r="BCB12" s="248"/>
      <c r="BCC12" s="248"/>
      <c r="BCD12" s="248"/>
      <c r="BCE12" s="248"/>
      <c r="BCF12" s="248"/>
      <c r="BCG12" s="248"/>
      <c r="BCH12" s="248"/>
      <c r="BCI12" s="248"/>
      <c r="BCJ12" s="248"/>
      <c r="BCK12" s="248"/>
      <c r="BCL12" s="248"/>
      <c r="BCM12" s="248"/>
      <c r="BCN12" s="248"/>
      <c r="BCO12" s="248"/>
      <c r="BCP12" s="248"/>
      <c r="BCQ12" s="248"/>
      <c r="BCR12" s="248"/>
      <c r="BCS12" s="248"/>
      <c r="BCT12" s="248"/>
      <c r="BCU12" s="248"/>
      <c r="BCV12" s="248"/>
      <c r="BCW12" s="248"/>
      <c r="BCX12" s="248"/>
      <c r="BCY12" s="248"/>
      <c r="BCZ12" s="248"/>
      <c r="BDA12" s="248"/>
      <c r="BDB12" s="248"/>
      <c r="BDC12" s="248"/>
      <c r="BDD12" s="248"/>
      <c r="BDE12" s="248"/>
      <c r="BDF12" s="248"/>
      <c r="BDG12" s="248"/>
      <c r="BDH12" s="248"/>
      <c r="BDI12" s="248"/>
      <c r="BDJ12" s="248"/>
      <c r="BDK12" s="248"/>
      <c r="BDL12" s="248"/>
      <c r="BDM12" s="248"/>
      <c r="BDN12" s="248"/>
      <c r="BDO12" s="248"/>
      <c r="BDP12" s="248"/>
      <c r="BDQ12" s="248"/>
      <c r="BDR12" s="248"/>
      <c r="BDS12" s="248"/>
      <c r="BDT12" s="248"/>
      <c r="BDU12" s="248"/>
      <c r="BDV12" s="248"/>
      <c r="BDW12" s="248"/>
      <c r="BDX12" s="248"/>
      <c r="BDY12" s="248"/>
      <c r="BDZ12" s="248"/>
      <c r="BEA12" s="248"/>
      <c r="BEB12" s="248"/>
      <c r="BEC12" s="248"/>
      <c r="BED12" s="248"/>
      <c r="BEE12" s="248"/>
      <c r="BEF12" s="248"/>
      <c r="BEG12" s="248"/>
      <c r="BEH12" s="248"/>
      <c r="BEI12" s="248"/>
      <c r="BEJ12" s="248"/>
      <c r="BEK12" s="248"/>
      <c r="BEL12" s="248"/>
      <c r="BEM12" s="248"/>
      <c r="BEN12" s="248"/>
      <c r="BEO12" s="248"/>
      <c r="BEP12" s="248"/>
      <c r="BEQ12" s="248"/>
      <c r="BER12" s="248"/>
      <c r="BES12" s="248"/>
      <c r="BET12" s="248"/>
      <c r="BEU12" s="248"/>
      <c r="BEV12" s="248"/>
      <c r="BEW12" s="248"/>
      <c r="BEX12" s="248"/>
      <c r="BEY12" s="248"/>
      <c r="BEZ12" s="248"/>
      <c r="BFA12" s="248"/>
      <c r="BFB12" s="248"/>
      <c r="BFC12" s="248"/>
      <c r="BFD12" s="248"/>
      <c r="BFE12" s="248"/>
      <c r="BFF12" s="248"/>
      <c r="BFG12" s="248"/>
      <c r="BFH12" s="248"/>
      <c r="BFI12" s="248"/>
      <c r="BFJ12" s="248"/>
      <c r="BFK12" s="248"/>
      <c r="BFL12" s="248"/>
      <c r="BFM12" s="248"/>
      <c r="BFN12" s="248"/>
      <c r="BFO12" s="248"/>
      <c r="BFP12" s="248"/>
      <c r="BFQ12" s="248"/>
      <c r="BFR12" s="248"/>
      <c r="BFS12" s="248"/>
      <c r="BFT12" s="248"/>
      <c r="BFU12" s="248"/>
      <c r="BFV12" s="248"/>
      <c r="BFW12" s="248"/>
      <c r="BFX12" s="248"/>
      <c r="BFY12" s="248"/>
      <c r="BFZ12" s="248"/>
      <c r="BGA12" s="248"/>
      <c r="BGB12" s="248"/>
      <c r="BGC12" s="248"/>
      <c r="BGD12" s="248"/>
      <c r="BGE12" s="248"/>
      <c r="BGF12" s="248"/>
      <c r="BGG12" s="248"/>
      <c r="BGH12" s="248"/>
      <c r="BGI12" s="248"/>
      <c r="BGJ12" s="248"/>
      <c r="BGK12" s="248"/>
      <c r="BGL12" s="248"/>
      <c r="BGM12" s="248"/>
      <c r="BGN12" s="248"/>
      <c r="BGO12" s="248"/>
      <c r="BGP12" s="248"/>
      <c r="BGQ12" s="248"/>
      <c r="BGR12" s="248"/>
      <c r="BGS12" s="248"/>
      <c r="BGT12" s="248"/>
      <c r="BGU12" s="248"/>
      <c r="BGV12" s="248"/>
      <c r="BGW12" s="248"/>
      <c r="BGX12" s="248"/>
      <c r="BGY12" s="248"/>
      <c r="BGZ12" s="248"/>
      <c r="BHA12" s="248"/>
      <c r="BHB12" s="248"/>
      <c r="BHC12" s="248"/>
      <c r="BHD12" s="248"/>
      <c r="BHE12" s="248"/>
      <c r="BHF12" s="248"/>
      <c r="BHG12" s="248"/>
      <c r="BHH12" s="248"/>
      <c r="BHI12" s="248"/>
      <c r="BHJ12" s="248"/>
      <c r="BHK12" s="248"/>
      <c r="BHL12" s="248"/>
      <c r="BHM12" s="248"/>
      <c r="BHN12" s="248"/>
      <c r="BHO12" s="248"/>
      <c r="BHP12" s="248"/>
      <c r="BHQ12" s="248"/>
      <c r="BHR12" s="248"/>
      <c r="BHS12" s="248"/>
      <c r="BHT12" s="248"/>
      <c r="BHU12" s="248"/>
      <c r="BHV12" s="248"/>
      <c r="BHW12" s="248"/>
      <c r="BHX12" s="248"/>
      <c r="BHY12" s="248"/>
      <c r="BHZ12" s="248"/>
      <c r="BIA12" s="248"/>
      <c r="BIB12" s="248"/>
      <c r="BIC12" s="248"/>
      <c r="BID12" s="248"/>
      <c r="BIE12" s="248"/>
      <c r="BIF12" s="248"/>
      <c r="BIG12" s="248"/>
      <c r="BIH12" s="248"/>
      <c r="BII12" s="248"/>
      <c r="BIJ12" s="248"/>
      <c r="BIK12" s="248"/>
      <c r="BIL12" s="248"/>
      <c r="BIM12" s="248"/>
      <c r="BIN12" s="248"/>
      <c r="BIO12" s="248"/>
      <c r="BIP12" s="248"/>
      <c r="BIQ12" s="248"/>
      <c r="BIR12" s="248"/>
      <c r="BIS12" s="248"/>
      <c r="BIT12" s="248"/>
      <c r="BIU12" s="248"/>
      <c r="BIV12" s="248"/>
      <c r="BIW12" s="248"/>
      <c r="BIX12" s="248"/>
      <c r="BIY12" s="248"/>
      <c r="BIZ12" s="248"/>
      <c r="BJA12" s="248"/>
      <c r="BJB12" s="248"/>
      <c r="BJC12" s="248"/>
      <c r="BJD12" s="248"/>
      <c r="BJE12" s="248"/>
      <c r="BJF12" s="248"/>
      <c r="BJG12" s="248"/>
      <c r="BJH12" s="248"/>
      <c r="BJI12" s="248"/>
      <c r="BJJ12" s="248"/>
      <c r="BJK12" s="248"/>
      <c r="BJL12" s="248"/>
      <c r="BJM12" s="248"/>
      <c r="BJN12" s="248"/>
      <c r="BJO12" s="248"/>
      <c r="BJP12" s="248"/>
      <c r="BJQ12" s="248"/>
      <c r="BJR12" s="248"/>
      <c r="BJS12" s="248"/>
      <c r="BJT12" s="248"/>
      <c r="BJU12" s="248"/>
      <c r="BJV12" s="248"/>
      <c r="BJW12" s="248"/>
      <c r="BJX12" s="248"/>
      <c r="BJY12" s="248"/>
      <c r="BJZ12" s="248"/>
      <c r="BKA12" s="248"/>
      <c r="BKB12" s="248"/>
      <c r="BKC12" s="248"/>
      <c r="BKD12" s="248"/>
      <c r="BKE12" s="248"/>
      <c r="BKF12" s="248"/>
      <c r="BKG12" s="248"/>
      <c r="BKH12" s="248"/>
      <c r="BKI12" s="248"/>
      <c r="BKJ12" s="248"/>
      <c r="BKK12" s="248"/>
      <c r="BKL12" s="248"/>
      <c r="BKM12" s="248"/>
      <c r="BKN12" s="248"/>
      <c r="BKO12" s="248"/>
      <c r="BKP12" s="248"/>
      <c r="BKQ12" s="248"/>
      <c r="BKR12" s="248"/>
      <c r="BKS12" s="248"/>
      <c r="BKT12" s="248"/>
      <c r="BKU12" s="248"/>
      <c r="BKV12" s="248"/>
      <c r="BKW12" s="248"/>
      <c r="BKX12" s="248"/>
      <c r="BKY12" s="248"/>
      <c r="BKZ12" s="248"/>
      <c r="BLA12" s="248"/>
      <c r="BLB12" s="248"/>
      <c r="BLC12" s="248"/>
      <c r="BLD12" s="248"/>
      <c r="BLE12" s="248"/>
      <c r="BLF12" s="248"/>
      <c r="BLG12" s="248"/>
      <c r="BLH12" s="248"/>
      <c r="BLI12" s="248"/>
      <c r="BLJ12" s="248"/>
      <c r="BLK12" s="248"/>
      <c r="BLL12" s="248"/>
      <c r="BLM12" s="248"/>
      <c r="BLN12" s="248"/>
      <c r="BLO12" s="248"/>
      <c r="BLP12" s="248"/>
      <c r="BLQ12" s="248"/>
      <c r="BLR12" s="248"/>
      <c r="BLS12" s="248"/>
      <c r="BLT12" s="248"/>
      <c r="BLU12" s="248"/>
      <c r="BLV12" s="248"/>
      <c r="BLW12" s="248"/>
      <c r="BLX12" s="248"/>
      <c r="BLY12" s="248"/>
      <c r="BLZ12" s="248"/>
      <c r="BMA12" s="248"/>
      <c r="BMB12" s="248"/>
      <c r="BMC12" s="248"/>
      <c r="BMD12" s="248"/>
      <c r="BME12" s="248"/>
      <c r="BMF12" s="248"/>
      <c r="BMG12" s="248"/>
      <c r="BMH12" s="248"/>
      <c r="BMI12" s="248"/>
      <c r="BMJ12" s="248"/>
      <c r="BMK12" s="248"/>
      <c r="BML12" s="248"/>
      <c r="BMM12" s="248"/>
      <c r="BMN12" s="248"/>
      <c r="BMO12" s="248"/>
      <c r="BMP12" s="248"/>
      <c r="BMQ12" s="248"/>
      <c r="BMR12" s="248"/>
      <c r="BMS12" s="248"/>
      <c r="BMT12" s="248"/>
      <c r="BMU12" s="248"/>
      <c r="BMV12" s="248"/>
      <c r="BMW12" s="248"/>
      <c r="BMX12" s="248"/>
      <c r="BMY12" s="248"/>
      <c r="BMZ12" s="248"/>
      <c r="BNA12" s="248"/>
      <c r="BNB12" s="248"/>
      <c r="BNC12" s="248"/>
      <c r="BND12" s="248"/>
      <c r="BNE12" s="248"/>
      <c r="BNF12" s="248"/>
      <c r="BNG12" s="248"/>
      <c r="BNH12" s="248"/>
      <c r="BNI12" s="248"/>
      <c r="BNJ12" s="248"/>
      <c r="BNK12" s="248"/>
      <c r="BNL12" s="248"/>
      <c r="BNM12" s="248"/>
      <c r="BNN12" s="248"/>
      <c r="BNO12" s="248"/>
      <c r="BNP12" s="248"/>
      <c r="BNQ12" s="248"/>
      <c r="BNR12" s="248"/>
      <c r="BNS12" s="248"/>
      <c r="BNT12" s="248"/>
      <c r="BNU12" s="248"/>
      <c r="BNV12" s="248"/>
      <c r="BNW12" s="248"/>
      <c r="BNX12" s="248"/>
      <c r="BNY12" s="248"/>
      <c r="BNZ12" s="248"/>
      <c r="BOA12" s="248"/>
      <c r="BOB12" s="248"/>
      <c r="BOC12" s="248"/>
      <c r="BOD12" s="248"/>
      <c r="BOE12" s="248"/>
      <c r="BOF12" s="248"/>
      <c r="BOG12" s="248"/>
      <c r="BOH12" s="248"/>
      <c r="BOI12" s="248"/>
      <c r="BOJ12" s="248"/>
      <c r="BOK12" s="248"/>
      <c r="BOL12" s="248"/>
      <c r="BOM12" s="248"/>
      <c r="BON12" s="248"/>
      <c r="BOO12" s="248"/>
      <c r="BOP12" s="248"/>
      <c r="BOQ12" s="248"/>
      <c r="BOR12" s="248"/>
      <c r="BOS12" s="248"/>
      <c r="BOT12" s="248"/>
      <c r="BOU12" s="248"/>
      <c r="BOV12" s="248"/>
      <c r="BOW12" s="248"/>
      <c r="BOX12" s="248"/>
      <c r="BOY12" s="248"/>
      <c r="BOZ12" s="248"/>
      <c r="BPA12" s="248"/>
      <c r="BPB12" s="248"/>
      <c r="BPC12" s="248"/>
      <c r="BPD12" s="248"/>
      <c r="BPE12" s="248"/>
      <c r="BPF12" s="248"/>
      <c r="BPG12" s="248"/>
      <c r="BPH12" s="248"/>
      <c r="BPI12" s="248"/>
      <c r="BPJ12" s="248"/>
      <c r="BPK12" s="248"/>
      <c r="BPL12" s="248"/>
      <c r="BPM12" s="248"/>
      <c r="BPN12" s="248"/>
      <c r="BPO12" s="248"/>
      <c r="BPP12" s="248"/>
      <c r="BPQ12" s="248"/>
      <c r="BPR12" s="248"/>
      <c r="BPS12" s="248"/>
      <c r="BPT12" s="248"/>
      <c r="BPU12" s="248"/>
      <c r="BPV12" s="248"/>
      <c r="BPW12" s="248"/>
      <c r="BPX12" s="248"/>
      <c r="BPY12" s="248"/>
      <c r="BPZ12" s="248"/>
      <c r="BQA12" s="248"/>
      <c r="BQB12" s="248"/>
      <c r="BQC12" s="248"/>
      <c r="BQD12" s="248"/>
      <c r="BQE12" s="248"/>
      <c r="BQF12" s="248"/>
      <c r="BQG12" s="248"/>
      <c r="BQH12" s="248"/>
      <c r="BQI12" s="248"/>
      <c r="BQJ12" s="248"/>
      <c r="BQK12" s="248"/>
      <c r="BQL12" s="248"/>
      <c r="BQM12" s="248"/>
      <c r="BQN12" s="248"/>
      <c r="BQO12" s="248"/>
      <c r="BQP12" s="248"/>
      <c r="BQQ12" s="248"/>
      <c r="BQR12" s="248"/>
      <c r="BQS12" s="248"/>
      <c r="BQT12" s="248"/>
      <c r="BQU12" s="248"/>
      <c r="BQV12" s="248"/>
      <c r="BQW12" s="248"/>
      <c r="BQX12" s="248"/>
      <c r="BQY12" s="248"/>
      <c r="BQZ12" s="248"/>
      <c r="BRA12" s="248"/>
      <c r="BRB12" s="248"/>
      <c r="BRC12" s="248"/>
      <c r="BRD12" s="248"/>
      <c r="BRE12" s="248"/>
      <c r="BRF12" s="248"/>
      <c r="BRG12" s="248"/>
      <c r="BRH12" s="248"/>
      <c r="BRI12" s="248"/>
      <c r="BRJ12" s="248"/>
      <c r="BRK12" s="248"/>
      <c r="BRL12" s="248"/>
      <c r="BRM12" s="248"/>
      <c r="BRN12" s="248"/>
      <c r="BRO12" s="248"/>
      <c r="BRP12" s="248"/>
      <c r="BRQ12" s="248"/>
      <c r="BRR12" s="248"/>
      <c r="BRS12" s="248"/>
      <c r="BRT12" s="248"/>
      <c r="BRU12" s="248"/>
      <c r="BRV12" s="248"/>
      <c r="BRW12" s="248"/>
      <c r="BRX12" s="248"/>
      <c r="BRY12" s="248"/>
      <c r="BRZ12" s="248"/>
      <c r="BSA12" s="248"/>
      <c r="BSB12" s="248"/>
      <c r="BSC12" s="248"/>
      <c r="BSD12" s="248"/>
      <c r="BSE12" s="248"/>
      <c r="BSF12" s="248"/>
      <c r="BSG12" s="248"/>
      <c r="BSH12" s="248"/>
      <c r="BSI12" s="248"/>
      <c r="BSJ12" s="248"/>
      <c r="BSK12" s="248"/>
      <c r="BSL12" s="248"/>
      <c r="BSM12" s="248"/>
      <c r="BSN12" s="248"/>
      <c r="BSO12" s="248"/>
      <c r="BSP12" s="248"/>
      <c r="BSQ12" s="248"/>
      <c r="BSR12" s="248"/>
      <c r="BSS12" s="248"/>
      <c r="BST12" s="248"/>
      <c r="BSU12" s="248"/>
      <c r="BSV12" s="248"/>
      <c r="BSW12" s="248"/>
      <c r="BSX12" s="248"/>
      <c r="BSY12" s="248"/>
      <c r="BSZ12" s="248"/>
      <c r="BTA12" s="248"/>
      <c r="BTB12" s="248"/>
      <c r="BTC12" s="248"/>
      <c r="BTD12" s="248"/>
      <c r="BTE12" s="248"/>
      <c r="BTF12" s="248"/>
      <c r="BTG12" s="248"/>
      <c r="BTH12" s="248"/>
      <c r="BTI12" s="248"/>
      <c r="BTJ12" s="248"/>
      <c r="BTK12" s="248"/>
      <c r="BTL12" s="248"/>
      <c r="BTM12" s="248"/>
      <c r="BTN12" s="248"/>
      <c r="BTO12" s="248"/>
      <c r="BTP12" s="248"/>
      <c r="BTQ12" s="248"/>
      <c r="BTR12" s="248"/>
      <c r="BTS12" s="248"/>
      <c r="BTT12" s="248"/>
      <c r="BTU12" s="248"/>
      <c r="BTV12" s="248"/>
      <c r="BTW12" s="248"/>
      <c r="BTX12" s="248"/>
      <c r="BTY12" s="248"/>
      <c r="BTZ12" s="248"/>
      <c r="BUA12" s="248"/>
      <c r="BUB12" s="248"/>
      <c r="BUC12" s="248"/>
      <c r="BUD12" s="248"/>
      <c r="BUE12" s="248"/>
      <c r="BUF12" s="248"/>
      <c r="BUG12" s="248"/>
      <c r="BUH12" s="248"/>
      <c r="BUI12" s="248"/>
      <c r="BUJ12" s="248"/>
      <c r="BUK12" s="248"/>
      <c r="BUL12" s="248"/>
      <c r="BUM12" s="248"/>
      <c r="BUN12" s="248"/>
      <c r="BUO12" s="248"/>
      <c r="BUP12" s="248"/>
      <c r="BUQ12" s="248"/>
      <c r="BUR12" s="248"/>
      <c r="BUS12" s="248"/>
      <c r="BUT12" s="248"/>
      <c r="BUU12" s="248"/>
      <c r="BUV12" s="248"/>
      <c r="BUW12" s="248"/>
      <c r="BUX12" s="248"/>
      <c r="BUY12" s="248"/>
      <c r="BUZ12" s="248"/>
      <c r="BVA12" s="248"/>
      <c r="BVB12" s="248"/>
      <c r="BVC12" s="248"/>
      <c r="BVD12" s="248"/>
      <c r="BVE12" s="248"/>
      <c r="BVF12" s="248"/>
      <c r="BVG12" s="248"/>
      <c r="BVH12" s="248"/>
      <c r="BVI12" s="248"/>
      <c r="BVJ12" s="248"/>
      <c r="BVK12" s="248"/>
      <c r="BVL12" s="248"/>
      <c r="BVM12" s="248"/>
      <c r="BVN12" s="248"/>
      <c r="BVO12" s="248"/>
      <c r="BVP12" s="248"/>
      <c r="BVQ12" s="248"/>
      <c r="BVR12" s="248"/>
      <c r="BVS12" s="248"/>
      <c r="BVT12" s="248"/>
      <c r="BVU12" s="248"/>
      <c r="BVV12" s="248"/>
      <c r="BVW12" s="248"/>
      <c r="BVX12" s="248"/>
      <c r="BVY12" s="248"/>
      <c r="BVZ12" s="248"/>
      <c r="BWA12" s="248"/>
      <c r="BWB12" s="248"/>
      <c r="BWC12" s="248"/>
      <c r="BWD12" s="248"/>
      <c r="BWE12" s="248"/>
      <c r="BWF12" s="248"/>
      <c r="BWG12" s="248"/>
      <c r="BWH12" s="248"/>
      <c r="BWI12" s="248"/>
      <c r="BWJ12" s="248"/>
      <c r="BWK12" s="248"/>
      <c r="BWL12" s="248"/>
      <c r="BWM12" s="248"/>
      <c r="BWN12" s="248"/>
      <c r="BWO12" s="248"/>
      <c r="BWP12" s="248"/>
      <c r="BWQ12" s="248"/>
      <c r="BWR12" s="248"/>
      <c r="BWS12" s="248"/>
      <c r="BWT12" s="248"/>
      <c r="BWU12" s="248"/>
      <c r="BWV12" s="248"/>
      <c r="BWW12" s="248"/>
      <c r="BWX12" s="248"/>
      <c r="BWY12" s="248"/>
      <c r="BWZ12" s="248"/>
      <c r="BXA12" s="248"/>
      <c r="BXB12" s="248"/>
      <c r="BXC12" s="248"/>
      <c r="BXD12" s="248"/>
      <c r="BXE12" s="248"/>
      <c r="BXF12" s="248"/>
      <c r="BXG12" s="248"/>
      <c r="BXH12" s="248"/>
      <c r="BXI12" s="248"/>
      <c r="BXJ12" s="248"/>
      <c r="BXK12" s="248"/>
      <c r="BXL12" s="248"/>
      <c r="BXM12" s="248"/>
      <c r="BXN12" s="248"/>
      <c r="BXO12" s="248"/>
      <c r="BXP12" s="248"/>
      <c r="BXQ12" s="248"/>
      <c r="BXR12" s="248"/>
      <c r="BXS12" s="248"/>
      <c r="BXT12" s="248"/>
      <c r="BXU12" s="248"/>
      <c r="BXV12" s="248"/>
      <c r="BXW12" s="248"/>
      <c r="BXX12" s="248"/>
      <c r="BXY12" s="248"/>
      <c r="BXZ12" s="248"/>
      <c r="BYA12" s="248"/>
      <c r="BYB12" s="248"/>
      <c r="BYC12" s="248"/>
      <c r="BYD12" s="248"/>
      <c r="BYE12" s="248"/>
      <c r="BYF12" s="248"/>
      <c r="BYG12" s="248"/>
      <c r="BYH12" s="248"/>
      <c r="BYI12" s="248"/>
      <c r="BYJ12" s="248"/>
      <c r="BYK12" s="248"/>
      <c r="BYL12" s="248"/>
      <c r="BYM12" s="248"/>
      <c r="BYN12" s="248"/>
      <c r="BYO12" s="248"/>
      <c r="BYP12" s="248"/>
      <c r="BYQ12" s="248"/>
      <c r="BYR12" s="248"/>
      <c r="BYS12" s="248"/>
      <c r="BYT12" s="248"/>
      <c r="BYU12" s="248"/>
      <c r="BYV12" s="248"/>
      <c r="BYW12" s="248"/>
      <c r="BYX12" s="248"/>
      <c r="BYY12" s="248"/>
      <c r="BYZ12" s="248"/>
      <c r="BZA12" s="248"/>
      <c r="BZB12" s="248"/>
      <c r="BZC12" s="248"/>
      <c r="BZD12" s="248"/>
      <c r="BZE12" s="248"/>
      <c r="BZF12" s="248"/>
      <c r="BZG12" s="248"/>
      <c r="BZH12" s="248"/>
      <c r="BZI12" s="248"/>
      <c r="BZJ12" s="248"/>
      <c r="BZK12" s="248"/>
      <c r="BZL12" s="248"/>
      <c r="BZM12" s="248"/>
      <c r="BZN12" s="248"/>
      <c r="BZO12" s="248"/>
      <c r="BZP12" s="248"/>
      <c r="BZQ12" s="248"/>
      <c r="BZR12" s="248"/>
      <c r="BZS12" s="248"/>
      <c r="BZT12" s="248"/>
      <c r="BZU12" s="248"/>
      <c r="BZV12" s="248"/>
      <c r="BZW12" s="248"/>
      <c r="BZX12" s="248"/>
      <c r="BZY12" s="248"/>
      <c r="BZZ12" s="248"/>
      <c r="CAA12" s="248"/>
      <c r="CAB12" s="248"/>
      <c r="CAC12" s="248"/>
      <c r="CAD12" s="248"/>
      <c r="CAE12" s="248"/>
      <c r="CAF12" s="248"/>
      <c r="CAG12" s="248"/>
      <c r="CAH12" s="248"/>
      <c r="CAI12" s="248"/>
      <c r="CAJ12" s="248"/>
      <c r="CAK12" s="248"/>
      <c r="CAL12" s="248"/>
      <c r="CAM12" s="248"/>
      <c r="CAN12" s="248"/>
      <c r="CAO12" s="248"/>
      <c r="CAP12" s="248"/>
      <c r="CAQ12" s="248"/>
      <c r="CAR12" s="248"/>
      <c r="CAS12" s="248"/>
      <c r="CAT12" s="248"/>
      <c r="CAU12" s="248"/>
      <c r="CAV12" s="248"/>
      <c r="CAW12" s="248"/>
      <c r="CAX12" s="248"/>
      <c r="CAY12" s="248"/>
      <c r="CAZ12" s="248"/>
      <c r="CBA12" s="248"/>
      <c r="CBB12" s="248"/>
      <c r="CBC12" s="248"/>
      <c r="CBD12" s="248"/>
      <c r="CBE12" s="248"/>
      <c r="CBF12" s="248"/>
      <c r="CBG12" s="248"/>
      <c r="CBH12" s="248"/>
      <c r="CBI12" s="248"/>
      <c r="CBJ12" s="248"/>
      <c r="CBK12" s="248"/>
      <c r="CBL12" s="248"/>
      <c r="CBM12" s="248"/>
      <c r="CBN12" s="248"/>
      <c r="CBO12" s="248"/>
      <c r="CBP12" s="248"/>
      <c r="CBQ12" s="248"/>
      <c r="CBR12" s="248"/>
      <c r="CBS12" s="248"/>
      <c r="CBT12" s="248"/>
      <c r="CBU12" s="248"/>
      <c r="CBV12" s="248"/>
      <c r="CBW12" s="248"/>
      <c r="CBX12" s="248"/>
      <c r="CBY12" s="248"/>
      <c r="CBZ12" s="248"/>
      <c r="CCA12" s="248"/>
      <c r="CCB12" s="248"/>
      <c r="CCC12" s="248"/>
      <c r="CCD12" s="248"/>
      <c r="CCE12" s="248"/>
      <c r="CCF12" s="248"/>
      <c r="CCG12" s="248"/>
      <c r="CCH12" s="248"/>
      <c r="CCI12" s="248"/>
      <c r="CCJ12" s="248"/>
      <c r="CCK12" s="248"/>
      <c r="CCL12" s="248"/>
      <c r="CCM12" s="248"/>
      <c r="CCN12" s="248"/>
      <c r="CCO12" s="248"/>
      <c r="CCP12" s="248"/>
      <c r="CCQ12" s="248"/>
      <c r="CCR12" s="248"/>
      <c r="CCS12" s="248"/>
      <c r="CCT12" s="248"/>
      <c r="CCU12" s="248"/>
      <c r="CCV12" s="248"/>
      <c r="CCW12" s="248"/>
      <c r="CCX12" s="248"/>
      <c r="CCY12" s="248"/>
      <c r="CCZ12" s="248"/>
      <c r="CDA12" s="248"/>
      <c r="CDB12" s="248"/>
      <c r="CDC12" s="248"/>
      <c r="CDD12" s="248"/>
      <c r="CDE12" s="248"/>
      <c r="CDF12" s="248"/>
      <c r="CDG12" s="248"/>
      <c r="CDH12" s="248"/>
      <c r="CDI12" s="248"/>
      <c r="CDJ12" s="248"/>
      <c r="CDK12" s="248"/>
      <c r="CDL12" s="248"/>
      <c r="CDM12" s="248"/>
      <c r="CDN12" s="248"/>
      <c r="CDO12" s="248"/>
      <c r="CDP12" s="248"/>
      <c r="CDQ12" s="248"/>
      <c r="CDR12" s="248"/>
      <c r="CDS12" s="248"/>
      <c r="CDT12" s="248"/>
      <c r="CDU12" s="248"/>
      <c r="CDV12" s="248"/>
      <c r="CDW12" s="248"/>
      <c r="CDX12" s="248"/>
      <c r="CDY12" s="248"/>
      <c r="CDZ12" s="248"/>
      <c r="CEA12" s="248"/>
      <c r="CEB12" s="248"/>
      <c r="CEC12" s="248"/>
      <c r="CED12" s="248"/>
      <c r="CEE12" s="248"/>
      <c r="CEF12" s="248"/>
      <c r="CEG12" s="248"/>
      <c r="CEH12" s="248"/>
      <c r="CEI12" s="248"/>
      <c r="CEJ12" s="248"/>
      <c r="CEK12" s="248"/>
      <c r="CEL12" s="248"/>
      <c r="CEM12" s="248"/>
      <c r="CEN12" s="248"/>
      <c r="CEO12" s="248"/>
      <c r="CEP12" s="248"/>
      <c r="CEQ12" s="248"/>
      <c r="CER12" s="248"/>
      <c r="CES12" s="248"/>
      <c r="CET12" s="248"/>
      <c r="CEU12" s="248"/>
      <c r="CEV12" s="248"/>
      <c r="CEW12" s="248"/>
      <c r="CEX12" s="248"/>
      <c r="CEY12" s="248"/>
      <c r="CEZ12" s="248"/>
      <c r="CFA12" s="248"/>
      <c r="CFB12" s="248"/>
      <c r="CFC12" s="248"/>
      <c r="CFD12" s="248"/>
      <c r="CFE12" s="248"/>
      <c r="CFF12" s="248"/>
      <c r="CFG12" s="248"/>
      <c r="CFH12" s="248"/>
      <c r="CFI12" s="248"/>
      <c r="CFJ12" s="248"/>
      <c r="CFK12" s="248"/>
      <c r="CFL12" s="248"/>
      <c r="CFM12" s="248"/>
      <c r="CFN12" s="248"/>
      <c r="CFO12" s="248"/>
      <c r="CFP12" s="248"/>
      <c r="CFQ12" s="248"/>
      <c r="CFR12" s="248"/>
      <c r="CFS12" s="248"/>
      <c r="CFT12" s="248"/>
      <c r="CFU12" s="248"/>
      <c r="CFV12" s="248"/>
      <c r="CFW12" s="248"/>
      <c r="CFX12" s="248"/>
      <c r="CFY12" s="248"/>
      <c r="CFZ12" s="248"/>
      <c r="CGA12" s="248"/>
      <c r="CGB12" s="248"/>
      <c r="CGC12" s="248"/>
      <c r="CGD12" s="248"/>
      <c r="CGE12" s="248"/>
      <c r="CGF12" s="248"/>
      <c r="CGG12" s="248"/>
      <c r="CGH12" s="248"/>
      <c r="CGI12" s="248"/>
      <c r="CGJ12" s="248"/>
      <c r="CGK12" s="248"/>
      <c r="CGL12" s="248"/>
      <c r="CGM12" s="248"/>
      <c r="CGN12" s="248"/>
      <c r="CGO12" s="248"/>
      <c r="CGP12" s="248"/>
      <c r="CGQ12" s="248"/>
      <c r="CGR12" s="248"/>
      <c r="CGS12" s="248"/>
      <c r="CGT12" s="248"/>
      <c r="CGU12" s="248"/>
      <c r="CGV12" s="248"/>
      <c r="CGW12" s="248"/>
      <c r="CGX12" s="248"/>
      <c r="CGY12" s="248"/>
      <c r="CGZ12" s="248"/>
      <c r="CHA12" s="248"/>
      <c r="CHB12" s="248"/>
      <c r="CHC12" s="248"/>
      <c r="CHD12" s="248"/>
      <c r="CHE12" s="248"/>
      <c r="CHF12" s="248"/>
      <c r="CHG12" s="248"/>
      <c r="CHH12" s="248"/>
      <c r="CHI12" s="248"/>
      <c r="CHJ12" s="248"/>
      <c r="CHK12" s="248"/>
      <c r="CHL12" s="248"/>
      <c r="CHM12" s="248"/>
      <c r="CHN12" s="248"/>
      <c r="CHO12" s="248"/>
      <c r="CHP12" s="248"/>
      <c r="CHQ12" s="248"/>
      <c r="CHR12" s="248"/>
      <c r="CHS12" s="248"/>
      <c r="CHT12" s="248"/>
      <c r="CHU12" s="248"/>
      <c r="CHV12" s="248"/>
      <c r="CHW12" s="248"/>
      <c r="CHX12" s="248"/>
      <c r="CHY12" s="248"/>
      <c r="CHZ12" s="248"/>
      <c r="CIA12" s="248"/>
      <c r="CIB12" s="248"/>
      <c r="CIC12" s="248"/>
      <c r="CID12" s="248"/>
      <c r="CIE12" s="248"/>
      <c r="CIF12" s="248"/>
      <c r="CIG12" s="248"/>
      <c r="CIH12" s="248"/>
      <c r="CII12" s="248"/>
      <c r="CIJ12" s="248"/>
      <c r="CIK12" s="248"/>
      <c r="CIL12" s="248"/>
      <c r="CIM12" s="248"/>
      <c r="CIN12" s="248"/>
      <c r="CIO12" s="248"/>
      <c r="CIP12" s="248"/>
      <c r="CIQ12" s="248"/>
      <c r="CIR12" s="248"/>
      <c r="CIS12" s="248"/>
      <c r="CIT12" s="248"/>
      <c r="CIU12" s="248"/>
      <c r="CIV12" s="248"/>
      <c r="CIW12" s="248"/>
      <c r="CIX12" s="248"/>
      <c r="CIY12" s="248"/>
      <c r="CIZ12" s="248"/>
      <c r="CJA12" s="248"/>
      <c r="CJB12" s="248"/>
      <c r="CJC12" s="248"/>
      <c r="CJD12" s="248"/>
      <c r="CJE12" s="248"/>
      <c r="CJF12" s="248"/>
      <c r="CJG12" s="248"/>
      <c r="CJH12" s="248"/>
      <c r="CJI12" s="248"/>
      <c r="CJJ12" s="248"/>
      <c r="CJK12" s="248"/>
      <c r="CJL12" s="248"/>
      <c r="CJM12" s="248"/>
      <c r="CJN12" s="248"/>
      <c r="CJO12" s="248"/>
      <c r="CJP12" s="248"/>
      <c r="CJQ12" s="248"/>
      <c r="CJR12" s="248"/>
      <c r="CJS12" s="248"/>
      <c r="CJT12" s="248"/>
      <c r="CJU12" s="248"/>
      <c r="CJV12" s="248"/>
      <c r="CJW12" s="248"/>
      <c r="CJX12" s="248"/>
      <c r="CJY12" s="248"/>
      <c r="CJZ12" s="248"/>
      <c r="CKA12" s="248"/>
      <c r="CKB12" s="248"/>
      <c r="CKC12" s="248"/>
      <c r="CKD12" s="248"/>
      <c r="CKE12" s="248"/>
      <c r="CKF12" s="248"/>
      <c r="CKG12" s="248"/>
      <c r="CKH12" s="248"/>
      <c r="CKI12" s="248"/>
      <c r="CKJ12" s="248"/>
      <c r="CKK12" s="248"/>
      <c r="CKL12" s="248"/>
      <c r="CKM12" s="248"/>
      <c r="CKN12" s="248"/>
      <c r="CKO12" s="248"/>
      <c r="CKP12" s="248"/>
      <c r="CKQ12" s="248"/>
      <c r="CKR12" s="248"/>
      <c r="CKS12" s="248"/>
      <c r="CKT12" s="248"/>
      <c r="CKU12" s="248"/>
      <c r="CKV12" s="248"/>
      <c r="CKW12" s="248"/>
      <c r="CKX12" s="248"/>
      <c r="CKY12" s="248"/>
      <c r="CKZ12" s="248"/>
      <c r="CLA12" s="248"/>
      <c r="CLB12" s="248"/>
      <c r="CLC12" s="248"/>
      <c r="CLD12" s="248"/>
      <c r="CLE12" s="248"/>
      <c r="CLF12" s="248"/>
      <c r="CLG12" s="248"/>
      <c r="CLH12" s="248"/>
      <c r="CLI12" s="248"/>
      <c r="CLJ12" s="248"/>
      <c r="CLK12" s="248"/>
      <c r="CLL12" s="248"/>
      <c r="CLM12" s="248"/>
      <c r="CLN12" s="248"/>
      <c r="CLO12" s="248"/>
      <c r="CLP12" s="248"/>
      <c r="CLQ12" s="248"/>
      <c r="CLR12" s="248"/>
      <c r="CLS12" s="248"/>
      <c r="CLT12" s="248"/>
      <c r="CLU12" s="248"/>
      <c r="CLV12" s="248"/>
      <c r="CLW12" s="248"/>
      <c r="CLX12" s="248"/>
      <c r="CLY12" s="248"/>
      <c r="CLZ12" s="248"/>
      <c r="CMA12" s="248"/>
      <c r="CMB12" s="248"/>
      <c r="CMC12" s="248"/>
      <c r="CMD12" s="248"/>
      <c r="CME12" s="248"/>
      <c r="CMF12" s="248"/>
      <c r="CMG12" s="248"/>
      <c r="CMH12" s="248"/>
      <c r="CMI12" s="248"/>
      <c r="CMJ12" s="248"/>
      <c r="CMK12" s="248"/>
      <c r="CML12" s="248"/>
      <c r="CMM12" s="248"/>
      <c r="CMN12" s="248"/>
      <c r="CMO12" s="248"/>
      <c r="CMP12" s="248"/>
      <c r="CMQ12" s="248"/>
      <c r="CMR12" s="248"/>
      <c r="CMS12" s="248"/>
      <c r="CMT12" s="248"/>
      <c r="CMU12" s="248"/>
      <c r="CMV12" s="248"/>
      <c r="CMW12" s="248"/>
      <c r="CMX12" s="248"/>
      <c r="CMY12" s="248"/>
      <c r="CMZ12" s="248"/>
      <c r="CNA12" s="248"/>
      <c r="CNB12" s="248"/>
      <c r="CNC12" s="248"/>
      <c r="CND12" s="248"/>
      <c r="CNE12" s="248"/>
      <c r="CNF12" s="248"/>
      <c r="CNG12" s="248"/>
      <c r="CNH12" s="248"/>
      <c r="CNI12" s="248"/>
      <c r="CNJ12" s="248"/>
      <c r="CNK12" s="248"/>
      <c r="CNL12" s="248"/>
      <c r="CNM12" s="248"/>
      <c r="CNN12" s="248"/>
      <c r="CNO12" s="248"/>
      <c r="CNP12" s="248"/>
      <c r="CNQ12" s="248"/>
      <c r="CNR12" s="248"/>
      <c r="CNS12" s="248"/>
      <c r="CNT12" s="248"/>
      <c r="CNU12" s="248"/>
      <c r="CNV12" s="248"/>
      <c r="CNW12" s="248"/>
      <c r="CNX12" s="248"/>
      <c r="CNY12" s="248"/>
      <c r="CNZ12" s="248"/>
      <c r="COA12" s="248"/>
      <c r="COB12" s="248"/>
      <c r="COC12" s="248"/>
      <c r="COD12" s="248"/>
      <c r="COE12" s="248"/>
      <c r="COF12" s="248"/>
      <c r="COG12" s="248"/>
      <c r="COH12" s="248"/>
      <c r="COI12" s="248"/>
      <c r="COJ12" s="248"/>
      <c r="COK12" s="248"/>
      <c r="COL12" s="248"/>
      <c r="COM12" s="248"/>
      <c r="CON12" s="248"/>
      <c r="COO12" s="248"/>
      <c r="COP12" s="248"/>
      <c r="COQ12" s="248"/>
      <c r="COR12" s="248"/>
      <c r="COS12" s="248"/>
      <c r="COT12" s="248"/>
      <c r="COU12" s="248"/>
      <c r="COV12" s="248"/>
      <c r="COW12" s="248"/>
      <c r="COX12" s="248"/>
      <c r="COY12" s="248"/>
      <c r="COZ12" s="248"/>
      <c r="CPA12" s="248"/>
      <c r="CPB12" s="248"/>
      <c r="CPC12" s="248"/>
      <c r="CPD12" s="248"/>
      <c r="CPE12" s="248"/>
      <c r="CPF12" s="248"/>
      <c r="CPG12" s="248"/>
      <c r="CPH12" s="248"/>
      <c r="CPI12" s="248"/>
      <c r="CPJ12" s="248"/>
      <c r="CPK12" s="248"/>
      <c r="CPL12" s="248"/>
      <c r="CPM12" s="248"/>
      <c r="CPN12" s="248"/>
      <c r="CPO12" s="248"/>
      <c r="CPP12" s="248"/>
      <c r="CPQ12" s="248"/>
      <c r="CPR12" s="248"/>
      <c r="CPS12" s="248"/>
      <c r="CPT12" s="248"/>
      <c r="CPU12" s="248"/>
      <c r="CPV12" s="248"/>
      <c r="CPW12" s="248"/>
      <c r="CPX12" s="248"/>
      <c r="CPY12" s="248"/>
      <c r="CPZ12" s="248"/>
      <c r="CQA12" s="248"/>
      <c r="CQB12" s="248"/>
      <c r="CQC12" s="248"/>
      <c r="CQD12" s="248"/>
      <c r="CQE12" s="248"/>
      <c r="CQF12" s="248"/>
      <c r="CQG12" s="248"/>
      <c r="CQH12" s="248"/>
      <c r="CQI12" s="248"/>
      <c r="CQJ12" s="248"/>
      <c r="CQK12" s="248"/>
      <c r="CQL12" s="248"/>
      <c r="CQM12" s="248"/>
      <c r="CQN12" s="248"/>
      <c r="CQO12" s="248"/>
      <c r="CQP12" s="248"/>
      <c r="CQQ12" s="248"/>
      <c r="CQR12" s="248"/>
      <c r="CQS12" s="248"/>
      <c r="CQT12" s="248"/>
      <c r="CQU12" s="248"/>
      <c r="CQV12" s="248"/>
      <c r="CQW12" s="248"/>
      <c r="CQX12" s="248"/>
      <c r="CQY12" s="248"/>
      <c r="CQZ12" s="248"/>
      <c r="CRA12" s="248"/>
      <c r="CRB12" s="248"/>
      <c r="CRC12" s="248"/>
      <c r="CRD12" s="248"/>
      <c r="CRE12" s="248"/>
      <c r="CRF12" s="248"/>
      <c r="CRG12" s="248"/>
      <c r="CRH12" s="248"/>
      <c r="CRI12" s="248"/>
      <c r="CRJ12" s="248"/>
      <c r="CRK12" s="248"/>
      <c r="CRL12" s="248"/>
      <c r="CRM12" s="248"/>
      <c r="CRN12" s="248"/>
      <c r="CRO12" s="248"/>
      <c r="CRP12" s="248"/>
      <c r="CRQ12" s="248"/>
      <c r="CRR12" s="248"/>
      <c r="CRS12" s="248"/>
      <c r="CRT12" s="248"/>
      <c r="CRU12" s="248"/>
      <c r="CRV12" s="248"/>
      <c r="CRW12" s="248"/>
      <c r="CRX12" s="248"/>
      <c r="CRY12" s="248"/>
      <c r="CRZ12" s="248"/>
      <c r="CSA12" s="248"/>
      <c r="CSB12" s="248"/>
      <c r="CSC12" s="248"/>
      <c r="CSD12" s="248"/>
      <c r="CSE12" s="248"/>
      <c r="CSF12" s="248"/>
      <c r="CSG12" s="248"/>
      <c r="CSH12" s="248"/>
      <c r="CSI12" s="248"/>
      <c r="CSJ12" s="248"/>
      <c r="CSK12" s="248"/>
      <c r="CSL12" s="248"/>
      <c r="CSM12" s="248"/>
      <c r="CSN12" s="248"/>
      <c r="CSO12" s="248"/>
      <c r="CSP12" s="248"/>
      <c r="CSQ12" s="248"/>
      <c r="CSR12" s="248"/>
      <c r="CSS12" s="248"/>
      <c r="CST12" s="248"/>
      <c r="CSU12" s="248"/>
      <c r="CSV12" s="248"/>
      <c r="CSW12" s="248"/>
      <c r="CSX12" s="248"/>
      <c r="CSY12" s="248"/>
      <c r="CSZ12" s="248"/>
      <c r="CTA12" s="248"/>
      <c r="CTB12" s="248"/>
      <c r="CTC12" s="248"/>
      <c r="CTD12" s="248"/>
      <c r="CTE12" s="248"/>
      <c r="CTF12" s="248"/>
      <c r="CTG12" s="248"/>
      <c r="CTH12" s="248"/>
      <c r="CTI12" s="248"/>
      <c r="CTJ12" s="248"/>
      <c r="CTK12" s="248"/>
      <c r="CTL12" s="248"/>
      <c r="CTM12" s="248"/>
      <c r="CTN12" s="248"/>
      <c r="CTO12" s="248"/>
      <c r="CTP12" s="248"/>
      <c r="CTQ12" s="248"/>
      <c r="CTR12" s="248"/>
      <c r="CTS12" s="248"/>
      <c r="CTT12" s="248"/>
      <c r="CTU12" s="248"/>
      <c r="CTV12" s="248"/>
      <c r="CTW12" s="248"/>
      <c r="CTX12" s="248"/>
      <c r="CTY12" s="248"/>
      <c r="CTZ12" s="248"/>
      <c r="CUA12" s="248"/>
      <c r="CUB12" s="248"/>
      <c r="CUC12" s="248"/>
      <c r="CUD12" s="248"/>
      <c r="CUE12" s="248"/>
      <c r="CUF12" s="248"/>
      <c r="CUG12" s="248"/>
      <c r="CUH12" s="248"/>
      <c r="CUI12" s="248"/>
      <c r="CUJ12" s="248"/>
      <c r="CUK12" s="248"/>
      <c r="CUL12" s="248"/>
      <c r="CUM12" s="248"/>
      <c r="CUN12" s="248"/>
      <c r="CUO12" s="248"/>
      <c r="CUP12" s="248"/>
      <c r="CUQ12" s="248"/>
      <c r="CUR12" s="248"/>
      <c r="CUS12" s="248"/>
      <c r="CUT12" s="248"/>
      <c r="CUU12" s="248"/>
      <c r="CUV12" s="248"/>
      <c r="CUW12" s="248"/>
      <c r="CUX12" s="248"/>
      <c r="CUY12" s="248"/>
      <c r="CUZ12" s="248"/>
      <c r="CVA12" s="248"/>
      <c r="CVB12" s="248"/>
      <c r="CVC12" s="248"/>
      <c r="CVD12" s="248"/>
      <c r="CVE12" s="248"/>
      <c r="CVF12" s="248"/>
      <c r="CVG12" s="248"/>
      <c r="CVH12" s="248"/>
      <c r="CVI12" s="248"/>
      <c r="CVJ12" s="248"/>
      <c r="CVK12" s="248"/>
      <c r="CVL12" s="248"/>
      <c r="CVM12" s="248"/>
      <c r="CVN12" s="248"/>
      <c r="CVO12" s="248"/>
      <c r="CVP12" s="248"/>
      <c r="CVQ12" s="248"/>
      <c r="CVR12" s="248"/>
      <c r="CVS12" s="248"/>
      <c r="CVT12" s="248"/>
      <c r="CVU12" s="248"/>
      <c r="CVV12" s="248"/>
      <c r="CVW12" s="248"/>
      <c r="CVX12" s="248"/>
      <c r="CVY12" s="248"/>
      <c r="CVZ12" s="248"/>
      <c r="CWA12" s="248"/>
      <c r="CWB12" s="248"/>
      <c r="CWC12" s="248"/>
      <c r="CWD12" s="248"/>
      <c r="CWE12" s="248"/>
      <c r="CWF12" s="248"/>
      <c r="CWG12" s="248"/>
      <c r="CWH12" s="248"/>
      <c r="CWI12" s="248"/>
      <c r="CWJ12" s="248"/>
      <c r="CWK12" s="248"/>
      <c r="CWL12" s="248"/>
      <c r="CWM12" s="248"/>
      <c r="CWN12" s="248"/>
      <c r="CWO12" s="248"/>
      <c r="CWP12" s="248"/>
      <c r="CWQ12" s="248"/>
      <c r="CWR12" s="248"/>
      <c r="CWS12" s="248"/>
      <c r="CWT12" s="248"/>
      <c r="CWU12" s="248"/>
      <c r="CWV12" s="248"/>
      <c r="CWW12" s="248"/>
      <c r="CWX12" s="248"/>
      <c r="CWY12" s="248"/>
      <c r="CWZ12" s="248"/>
      <c r="CXA12" s="248"/>
      <c r="CXB12" s="248"/>
      <c r="CXC12" s="248"/>
      <c r="CXD12" s="248"/>
      <c r="CXE12" s="248"/>
      <c r="CXF12" s="248"/>
      <c r="CXG12" s="248"/>
      <c r="CXH12" s="248"/>
      <c r="CXI12" s="248"/>
      <c r="CXJ12" s="248"/>
      <c r="CXK12" s="248"/>
      <c r="CXL12" s="248"/>
      <c r="CXM12" s="248"/>
      <c r="CXN12" s="248"/>
      <c r="CXO12" s="248"/>
      <c r="CXP12" s="248"/>
      <c r="CXQ12" s="248"/>
      <c r="CXR12" s="248"/>
      <c r="CXS12" s="248"/>
      <c r="CXT12" s="248"/>
      <c r="CXU12" s="248"/>
      <c r="CXV12" s="248"/>
      <c r="CXW12" s="248"/>
      <c r="CXX12" s="248"/>
      <c r="CXY12" s="248"/>
      <c r="CXZ12" s="248"/>
      <c r="CYA12" s="248"/>
      <c r="CYB12" s="248"/>
      <c r="CYC12" s="248"/>
      <c r="CYD12" s="248"/>
      <c r="CYE12" s="248"/>
      <c r="CYF12" s="248"/>
      <c r="CYG12" s="248"/>
      <c r="CYH12" s="248"/>
      <c r="CYI12" s="248"/>
      <c r="CYJ12" s="248"/>
      <c r="CYK12" s="248"/>
      <c r="CYL12" s="248"/>
      <c r="CYM12" s="248"/>
      <c r="CYN12" s="248"/>
      <c r="CYO12" s="248"/>
      <c r="CYP12" s="248"/>
      <c r="CYQ12" s="248"/>
      <c r="CYR12" s="248"/>
      <c r="CYS12" s="248"/>
      <c r="CYT12" s="248"/>
      <c r="CYU12" s="248"/>
      <c r="CYV12" s="248"/>
      <c r="CYW12" s="248"/>
      <c r="CYX12" s="248"/>
      <c r="CYY12" s="248"/>
      <c r="CYZ12" s="248"/>
      <c r="CZA12" s="248"/>
      <c r="CZB12" s="248"/>
      <c r="CZC12" s="248"/>
      <c r="CZD12" s="248"/>
      <c r="CZE12" s="248"/>
      <c r="CZF12" s="248"/>
      <c r="CZG12" s="248"/>
      <c r="CZH12" s="248"/>
      <c r="CZI12" s="248"/>
      <c r="CZJ12" s="248"/>
      <c r="CZK12" s="248"/>
      <c r="CZL12" s="248"/>
      <c r="CZM12" s="248"/>
      <c r="CZN12" s="248"/>
      <c r="CZO12" s="248"/>
      <c r="CZP12" s="248"/>
      <c r="CZQ12" s="248"/>
      <c r="CZR12" s="248"/>
      <c r="CZS12" s="248"/>
      <c r="CZT12" s="248"/>
      <c r="CZU12" s="248"/>
      <c r="CZV12" s="248"/>
      <c r="CZW12" s="248"/>
      <c r="CZX12" s="248"/>
      <c r="CZY12" s="248"/>
      <c r="CZZ12" s="248"/>
      <c r="DAA12" s="248"/>
      <c r="DAB12" s="248"/>
      <c r="DAC12" s="248"/>
      <c r="DAD12" s="248"/>
      <c r="DAE12" s="248"/>
      <c r="DAF12" s="248"/>
      <c r="DAG12" s="248"/>
      <c r="DAH12" s="248"/>
      <c r="DAI12" s="248"/>
      <c r="DAJ12" s="248"/>
      <c r="DAK12" s="248"/>
      <c r="DAL12" s="248"/>
      <c r="DAM12" s="248"/>
      <c r="DAN12" s="248"/>
      <c r="DAO12" s="248"/>
      <c r="DAP12" s="248"/>
      <c r="DAQ12" s="248"/>
      <c r="DAR12" s="248"/>
      <c r="DAS12" s="248"/>
      <c r="DAT12" s="248"/>
      <c r="DAU12" s="248"/>
      <c r="DAV12" s="248"/>
      <c r="DAW12" s="248"/>
      <c r="DAX12" s="248"/>
      <c r="DAY12" s="248"/>
      <c r="DAZ12" s="248"/>
      <c r="DBA12" s="248"/>
      <c r="DBB12" s="248"/>
      <c r="DBC12" s="248"/>
      <c r="DBD12" s="248"/>
      <c r="DBE12" s="248"/>
      <c r="DBF12" s="248"/>
      <c r="DBG12" s="248"/>
      <c r="DBH12" s="248"/>
      <c r="DBI12" s="248"/>
      <c r="DBJ12" s="248"/>
      <c r="DBK12" s="248"/>
      <c r="DBL12" s="248"/>
      <c r="DBM12" s="248"/>
      <c r="DBN12" s="248"/>
      <c r="DBO12" s="248"/>
      <c r="DBP12" s="248"/>
      <c r="DBQ12" s="248"/>
      <c r="DBR12" s="248"/>
      <c r="DBS12" s="248"/>
      <c r="DBT12" s="248"/>
      <c r="DBU12" s="248"/>
      <c r="DBV12" s="248"/>
      <c r="DBW12" s="248"/>
      <c r="DBX12" s="248"/>
      <c r="DBY12" s="248"/>
      <c r="DBZ12" s="248"/>
      <c r="DCA12" s="248"/>
      <c r="DCB12" s="248"/>
      <c r="DCC12" s="248"/>
      <c r="DCD12" s="248"/>
      <c r="DCE12" s="248"/>
      <c r="DCF12" s="248"/>
      <c r="DCG12" s="248"/>
      <c r="DCH12" s="248"/>
      <c r="DCI12" s="248"/>
      <c r="DCJ12" s="248"/>
      <c r="DCK12" s="248"/>
      <c r="DCL12" s="248"/>
      <c r="DCM12" s="248"/>
      <c r="DCN12" s="248"/>
      <c r="DCO12" s="248"/>
      <c r="DCP12" s="248"/>
      <c r="DCQ12" s="248"/>
      <c r="DCR12" s="248"/>
      <c r="DCS12" s="248"/>
      <c r="DCT12" s="248"/>
      <c r="DCU12" s="248"/>
      <c r="DCV12" s="248"/>
      <c r="DCW12" s="248"/>
      <c r="DCX12" s="248"/>
      <c r="DCY12" s="248"/>
      <c r="DCZ12" s="248"/>
      <c r="DDA12" s="248"/>
      <c r="DDB12" s="248"/>
      <c r="DDC12" s="248"/>
      <c r="DDD12" s="248"/>
      <c r="DDE12" s="248"/>
      <c r="DDF12" s="248"/>
      <c r="DDG12" s="248"/>
      <c r="DDH12" s="248"/>
      <c r="DDI12" s="248"/>
      <c r="DDJ12" s="248"/>
      <c r="DDK12" s="248"/>
      <c r="DDL12" s="248"/>
      <c r="DDM12" s="248"/>
      <c r="DDN12" s="248"/>
      <c r="DDO12" s="248"/>
      <c r="DDP12" s="248"/>
      <c r="DDQ12" s="248"/>
      <c r="DDR12" s="248"/>
      <c r="DDS12" s="248"/>
      <c r="DDT12" s="248"/>
      <c r="DDU12" s="248"/>
      <c r="DDV12" s="248"/>
      <c r="DDW12" s="248"/>
      <c r="DDX12" s="248"/>
      <c r="DDY12" s="248"/>
      <c r="DDZ12" s="248"/>
      <c r="DEA12" s="248"/>
      <c r="DEB12" s="248"/>
      <c r="DEC12" s="248"/>
      <c r="DED12" s="248"/>
      <c r="DEE12" s="248"/>
      <c r="DEF12" s="248"/>
      <c r="DEG12" s="248"/>
      <c r="DEH12" s="248"/>
      <c r="DEI12" s="248"/>
      <c r="DEJ12" s="248"/>
      <c r="DEK12" s="248"/>
      <c r="DEL12" s="248"/>
      <c r="DEM12" s="248"/>
      <c r="DEN12" s="248"/>
      <c r="DEO12" s="248"/>
      <c r="DEP12" s="248"/>
      <c r="DEQ12" s="248"/>
      <c r="DER12" s="248"/>
      <c r="DES12" s="248"/>
      <c r="DET12" s="248"/>
      <c r="DEU12" s="248"/>
      <c r="DEV12" s="248"/>
      <c r="DEW12" s="248"/>
      <c r="DEX12" s="248"/>
      <c r="DEY12" s="248"/>
      <c r="DEZ12" s="248"/>
      <c r="DFA12" s="248"/>
      <c r="DFB12" s="248"/>
      <c r="DFC12" s="248"/>
      <c r="DFD12" s="248"/>
      <c r="DFE12" s="248"/>
      <c r="DFF12" s="248"/>
      <c r="DFG12" s="248"/>
      <c r="DFH12" s="248"/>
      <c r="DFI12" s="248"/>
      <c r="DFJ12" s="248"/>
      <c r="DFK12" s="248"/>
      <c r="DFL12" s="248"/>
      <c r="DFM12" s="248"/>
      <c r="DFN12" s="248"/>
      <c r="DFO12" s="248"/>
      <c r="DFP12" s="248"/>
      <c r="DFQ12" s="248"/>
      <c r="DFR12" s="248"/>
      <c r="DFS12" s="248"/>
      <c r="DFT12" s="248"/>
      <c r="DFU12" s="248"/>
      <c r="DFV12" s="248"/>
      <c r="DFW12" s="248"/>
      <c r="DFX12" s="248"/>
      <c r="DFY12" s="248"/>
      <c r="DFZ12" s="248"/>
      <c r="DGA12" s="248"/>
      <c r="DGB12" s="248"/>
      <c r="DGC12" s="248"/>
      <c r="DGD12" s="248"/>
      <c r="DGE12" s="248"/>
      <c r="DGF12" s="248"/>
      <c r="DGG12" s="248"/>
      <c r="DGH12" s="248"/>
      <c r="DGI12" s="248"/>
      <c r="DGJ12" s="248"/>
      <c r="DGK12" s="248"/>
      <c r="DGL12" s="248"/>
      <c r="DGM12" s="248"/>
      <c r="DGN12" s="248"/>
      <c r="DGO12" s="248"/>
      <c r="DGP12" s="248"/>
      <c r="DGQ12" s="248"/>
      <c r="DGR12" s="248"/>
      <c r="DGS12" s="248"/>
      <c r="DGT12" s="248"/>
      <c r="DGU12" s="248"/>
      <c r="DGV12" s="248"/>
      <c r="DGW12" s="248"/>
      <c r="DGX12" s="248"/>
      <c r="DGY12" s="248"/>
      <c r="DGZ12" s="248"/>
      <c r="DHA12" s="248"/>
      <c r="DHB12" s="248"/>
      <c r="DHC12" s="248"/>
      <c r="DHD12" s="248"/>
      <c r="DHE12" s="248"/>
      <c r="DHF12" s="248"/>
      <c r="DHG12" s="248"/>
      <c r="DHH12" s="248"/>
      <c r="DHI12" s="248"/>
      <c r="DHJ12" s="248"/>
      <c r="DHK12" s="248"/>
      <c r="DHL12" s="248"/>
      <c r="DHM12" s="248"/>
      <c r="DHN12" s="248"/>
      <c r="DHO12" s="248"/>
      <c r="DHP12" s="248"/>
      <c r="DHQ12" s="248"/>
      <c r="DHR12" s="248"/>
      <c r="DHS12" s="248"/>
      <c r="DHT12" s="248"/>
      <c r="DHU12" s="248"/>
      <c r="DHV12" s="248"/>
      <c r="DHW12" s="248"/>
      <c r="DHX12" s="248"/>
      <c r="DHY12" s="248"/>
      <c r="DHZ12" s="248"/>
      <c r="DIA12" s="248"/>
      <c r="DIB12" s="248"/>
      <c r="DIC12" s="248"/>
      <c r="DID12" s="248"/>
      <c r="DIE12" s="248"/>
      <c r="DIF12" s="248"/>
      <c r="DIG12" s="248"/>
      <c r="DIH12" s="248"/>
      <c r="DII12" s="248"/>
      <c r="DIJ12" s="248"/>
      <c r="DIK12" s="248"/>
      <c r="DIL12" s="248"/>
      <c r="DIM12" s="248"/>
      <c r="DIN12" s="248"/>
      <c r="DIO12" s="248"/>
      <c r="DIP12" s="248"/>
      <c r="DIQ12" s="248"/>
      <c r="DIR12" s="248"/>
      <c r="DIS12" s="248"/>
      <c r="DIT12" s="248"/>
      <c r="DIU12" s="248"/>
      <c r="DIV12" s="248"/>
      <c r="DIW12" s="248"/>
      <c r="DIX12" s="248"/>
      <c r="DIY12" s="248"/>
      <c r="DIZ12" s="248"/>
      <c r="DJA12" s="248"/>
      <c r="DJB12" s="248"/>
      <c r="DJC12" s="248"/>
      <c r="DJD12" s="248"/>
      <c r="DJE12" s="248"/>
      <c r="DJF12" s="248"/>
      <c r="DJG12" s="248"/>
      <c r="DJH12" s="248"/>
      <c r="DJI12" s="248"/>
      <c r="DJJ12" s="248"/>
      <c r="DJK12" s="248"/>
      <c r="DJL12" s="248"/>
      <c r="DJM12" s="248"/>
      <c r="DJN12" s="248"/>
      <c r="DJO12" s="248"/>
      <c r="DJP12" s="248"/>
      <c r="DJQ12" s="248"/>
      <c r="DJR12" s="248"/>
      <c r="DJS12" s="248"/>
      <c r="DJT12" s="248"/>
      <c r="DJU12" s="248"/>
      <c r="DJV12" s="248"/>
      <c r="DJW12" s="248"/>
      <c r="DJX12" s="248"/>
      <c r="DJY12" s="248"/>
      <c r="DJZ12" s="248"/>
      <c r="DKA12" s="248"/>
      <c r="DKB12" s="248"/>
      <c r="DKC12" s="248"/>
      <c r="DKD12" s="248"/>
      <c r="DKE12" s="248"/>
      <c r="DKF12" s="248"/>
      <c r="DKG12" s="248"/>
      <c r="DKH12" s="248"/>
      <c r="DKI12" s="248"/>
      <c r="DKJ12" s="248"/>
      <c r="DKK12" s="248"/>
      <c r="DKL12" s="248"/>
      <c r="DKM12" s="248"/>
      <c r="DKN12" s="248"/>
      <c r="DKO12" s="248"/>
      <c r="DKP12" s="248"/>
      <c r="DKQ12" s="248"/>
      <c r="DKR12" s="248"/>
      <c r="DKS12" s="248"/>
      <c r="DKT12" s="248"/>
      <c r="DKU12" s="248"/>
      <c r="DKV12" s="248"/>
      <c r="DKW12" s="248"/>
      <c r="DKX12" s="248"/>
      <c r="DKY12" s="248"/>
      <c r="DKZ12" s="248"/>
      <c r="DLA12" s="248"/>
      <c r="DLB12" s="248"/>
      <c r="DLC12" s="248"/>
      <c r="DLD12" s="248"/>
      <c r="DLE12" s="248"/>
      <c r="DLF12" s="248"/>
      <c r="DLG12" s="248"/>
      <c r="DLH12" s="248"/>
      <c r="DLI12" s="248"/>
      <c r="DLJ12" s="248"/>
      <c r="DLK12" s="248"/>
      <c r="DLL12" s="248"/>
      <c r="DLM12" s="248"/>
      <c r="DLN12" s="248"/>
      <c r="DLO12" s="248"/>
      <c r="DLP12" s="248"/>
      <c r="DLQ12" s="248"/>
      <c r="DLR12" s="248"/>
      <c r="DLS12" s="248"/>
      <c r="DLT12" s="248"/>
      <c r="DLU12" s="248"/>
      <c r="DLV12" s="248"/>
      <c r="DLW12" s="248"/>
      <c r="DLX12" s="248"/>
      <c r="DLY12" s="248"/>
      <c r="DLZ12" s="248"/>
      <c r="DMA12" s="248"/>
      <c r="DMB12" s="248"/>
      <c r="DMC12" s="248"/>
      <c r="DMD12" s="248"/>
      <c r="DME12" s="248"/>
      <c r="DMF12" s="248"/>
      <c r="DMG12" s="248"/>
      <c r="DMH12" s="248"/>
      <c r="DMI12" s="248"/>
      <c r="DMJ12" s="248"/>
      <c r="DMK12" s="248"/>
      <c r="DML12" s="248"/>
      <c r="DMM12" s="248"/>
      <c r="DMN12" s="248"/>
      <c r="DMO12" s="248"/>
      <c r="DMP12" s="248"/>
      <c r="DMQ12" s="248"/>
      <c r="DMR12" s="248"/>
      <c r="DMS12" s="248"/>
      <c r="DMT12" s="248"/>
      <c r="DMU12" s="248"/>
      <c r="DMV12" s="248"/>
      <c r="DMW12" s="248"/>
      <c r="DMX12" s="248"/>
      <c r="DMY12" s="248"/>
      <c r="DMZ12" s="248"/>
      <c r="DNA12" s="248"/>
      <c r="DNB12" s="248"/>
      <c r="DNC12" s="248"/>
      <c r="DND12" s="248"/>
      <c r="DNE12" s="248"/>
      <c r="DNF12" s="248"/>
      <c r="DNG12" s="248"/>
      <c r="DNH12" s="248"/>
      <c r="DNI12" s="248"/>
      <c r="DNJ12" s="248"/>
      <c r="DNK12" s="248"/>
      <c r="DNL12" s="248"/>
      <c r="DNM12" s="248"/>
      <c r="DNN12" s="248"/>
      <c r="DNO12" s="248"/>
      <c r="DNP12" s="248"/>
      <c r="DNQ12" s="248"/>
      <c r="DNR12" s="248"/>
      <c r="DNS12" s="248"/>
      <c r="DNT12" s="248"/>
      <c r="DNU12" s="248"/>
      <c r="DNV12" s="248"/>
      <c r="DNW12" s="248"/>
      <c r="DNX12" s="248"/>
      <c r="DNY12" s="248"/>
      <c r="DNZ12" s="248"/>
      <c r="DOA12" s="248"/>
      <c r="DOB12" s="248"/>
      <c r="DOC12" s="248"/>
      <c r="DOD12" s="248"/>
      <c r="DOE12" s="248"/>
      <c r="DOF12" s="248"/>
      <c r="DOG12" s="248"/>
      <c r="DOH12" s="248"/>
      <c r="DOI12" s="248"/>
      <c r="DOJ12" s="248"/>
      <c r="DOK12" s="248"/>
      <c r="DOL12" s="248"/>
      <c r="DOM12" s="248"/>
      <c r="DON12" s="248"/>
      <c r="DOO12" s="248"/>
      <c r="DOP12" s="248"/>
      <c r="DOQ12" s="248"/>
      <c r="DOR12" s="248"/>
      <c r="DOS12" s="248"/>
      <c r="DOT12" s="248"/>
      <c r="DOU12" s="248"/>
      <c r="DOV12" s="248"/>
      <c r="DOW12" s="248"/>
      <c r="DOX12" s="248"/>
      <c r="DOY12" s="248"/>
      <c r="DOZ12" s="248"/>
      <c r="DPA12" s="248"/>
      <c r="DPB12" s="248"/>
      <c r="DPC12" s="248"/>
      <c r="DPD12" s="248"/>
      <c r="DPE12" s="248"/>
      <c r="DPF12" s="248"/>
      <c r="DPG12" s="248"/>
      <c r="DPH12" s="248"/>
      <c r="DPI12" s="248"/>
      <c r="DPJ12" s="248"/>
      <c r="DPK12" s="248"/>
      <c r="DPL12" s="248"/>
      <c r="DPM12" s="248"/>
      <c r="DPN12" s="248"/>
      <c r="DPO12" s="248"/>
      <c r="DPP12" s="248"/>
      <c r="DPQ12" s="248"/>
      <c r="DPR12" s="248"/>
      <c r="DPS12" s="248"/>
      <c r="DPT12" s="248"/>
      <c r="DPU12" s="248"/>
      <c r="DPV12" s="248"/>
      <c r="DPW12" s="248"/>
      <c r="DPX12" s="248"/>
      <c r="DPY12" s="248"/>
      <c r="DPZ12" s="248"/>
      <c r="DQA12" s="248"/>
      <c r="DQB12" s="248"/>
      <c r="DQC12" s="248"/>
      <c r="DQD12" s="248"/>
      <c r="DQE12" s="248"/>
      <c r="DQF12" s="248"/>
      <c r="DQG12" s="248"/>
      <c r="DQH12" s="248"/>
      <c r="DQI12" s="248"/>
      <c r="DQJ12" s="248"/>
      <c r="DQK12" s="248"/>
      <c r="DQL12" s="248"/>
      <c r="DQM12" s="248"/>
      <c r="DQN12" s="248"/>
      <c r="DQO12" s="248"/>
      <c r="DQP12" s="248"/>
      <c r="DQQ12" s="248"/>
      <c r="DQR12" s="248"/>
      <c r="DQS12" s="248"/>
      <c r="DQT12" s="248"/>
      <c r="DQU12" s="248"/>
      <c r="DQV12" s="248"/>
      <c r="DQW12" s="248"/>
      <c r="DQX12" s="248"/>
      <c r="DQY12" s="248"/>
      <c r="DQZ12" s="248"/>
      <c r="DRA12" s="248"/>
      <c r="DRB12" s="248"/>
      <c r="DRC12" s="248"/>
      <c r="DRD12" s="248"/>
      <c r="DRE12" s="248"/>
      <c r="DRF12" s="248"/>
      <c r="DRG12" s="248"/>
      <c r="DRH12" s="248"/>
      <c r="DRI12" s="248"/>
      <c r="DRJ12" s="248"/>
      <c r="DRK12" s="248"/>
      <c r="DRL12" s="248"/>
      <c r="DRM12" s="248"/>
      <c r="DRN12" s="248"/>
      <c r="DRO12" s="248"/>
      <c r="DRP12" s="248"/>
      <c r="DRQ12" s="248"/>
      <c r="DRR12" s="248"/>
      <c r="DRS12" s="248"/>
      <c r="DRT12" s="248"/>
      <c r="DRU12" s="248"/>
      <c r="DRV12" s="248"/>
      <c r="DRW12" s="248"/>
      <c r="DRX12" s="248"/>
      <c r="DRY12" s="248"/>
      <c r="DRZ12" s="248"/>
      <c r="DSA12" s="248"/>
      <c r="DSB12" s="248"/>
      <c r="DSC12" s="248"/>
      <c r="DSD12" s="248"/>
      <c r="DSE12" s="248"/>
      <c r="DSF12" s="248"/>
      <c r="DSG12" s="248"/>
      <c r="DSH12" s="248"/>
      <c r="DSI12" s="248"/>
      <c r="DSJ12" s="248"/>
      <c r="DSK12" s="248"/>
      <c r="DSL12" s="248"/>
      <c r="DSM12" s="248"/>
      <c r="DSN12" s="248"/>
      <c r="DSO12" s="248"/>
      <c r="DSP12" s="248"/>
      <c r="DSQ12" s="248"/>
      <c r="DSR12" s="248"/>
      <c r="DSS12" s="248"/>
      <c r="DST12" s="248"/>
      <c r="DSU12" s="248"/>
      <c r="DSV12" s="248"/>
      <c r="DSW12" s="248"/>
      <c r="DSX12" s="248"/>
      <c r="DSY12" s="248"/>
      <c r="DSZ12" s="248"/>
      <c r="DTA12" s="248"/>
      <c r="DTB12" s="248"/>
      <c r="DTC12" s="248"/>
      <c r="DTD12" s="248"/>
      <c r="DTE12" s="248"/>
      <c r="DTF12" s="248"/>
      <c r="DTG12" s="248"/>
      <c r="DTH12" s="248"/>
      <c r="DTI12" s="248"/>
      <c r="DTJ12" s="248"/>
      <c r="DTK12" s="248"/>
      <c r="DTL12" s="248"/>
      <c r="DTM12" s="248"/>
      <c r="DTN12" s="248"/>
      <c r="DTO12" s="248"/>
      <c r="DTP12" s="248"/>
      <c r="DTQ12" s="248"/>
      <c r="DTR12" s="248"/>
      <c r="DTS12" s="248"/>
      <c r="DTT12" s="248"/>
      <c r="DTU12" s="248"/>
      <c r="DTV12" s="248"/>
      <c r="DTW12" s="248"/>
      <c r="DTX12" s="248"/>
      <c r="DTY12" s="248"/>
      <c r="DTZ12" s="248"/>
      <c r="DUA12" s="248"/>
      <c r="DUB12" s="248"/>
      <c r="DUC12" s="248"/>
      <c r="DUD12" s="248"/>
      <c r="DUE12" s="248"/>
      <c r="DUF12" s="248"/>
      <c r="DUG12" s="248"/>
      <c r="DUH12" s="248"/>
      <c r="DUI12" s="248"/>
      <c r="DUJ12" s="248"/>
      <c r="DUK12" s="248"/>
      <c r="DUL12" s="248"/>
      <c r="DUM12" s="248"/>
      <c r="DUN12" s="248"/>
      <c r="DUO12" s="248"/>
      <c r="DUP12" s="248"/>
      <c r="DUQ12" s="248"/>
      <c r="DUR12" s="248"/>
      <c r="DUS12" s="248"/>
      <c r="DUT12" s="248"/>
      <c r="DUU12" s="248"/>
      <c r="DUV12" s="248"/>
      <c r="DUW12" s="248"/>
      <c r="DUX12" s="248"/>
      <c r="DUY12" s="248"/>
      <c r="DUZ12" s="248"/>
      <c r="DVA12" s="248"/>
      <c r="DVB12" s="248"/>
      <c r="DVC12" s="248"/>
      <c r="DVD12" s="248"/>
      <c r="DVE12" s="248"/>
      <c r="DVF12" s="248"/>
      <c r="DVG12" s="248"/>
      <c r="DVH12" s="248"/>
      <c r="DVI12" s="248"/>
      <c r="DVJ12" s="248"/>
      <c r="DVK12" s="248"/>
      <c r="DVL12" s="248"/>
      <c r="DVM12" s="248"/>
      <c r="DVN12" s="248"/>
      <c r="DVO12" s="248"/>
      <c r="DVP12" s="248"/>
      <c r="DVQ12" s="248"/>
      <c r="DVR12" s="248"/>
      <c r="DVS12" s="248"/>
      <c r="DVT12" s="248"/>
      <c r="DVU12" s="248"/>
      <c r="DVV12" s="248"/>
      <c r="DVW12" s="248"/>
      <c r="DVX12" s="248"/>
      <c r="DVY12" s="248"/>
      <c r="DVZ12" s="248"/>
      <c r="DWA12" s="248"/>
      <c r="DWB12" s="248"/>
      <c r="DWC12" s="248"/>
      <c r="DWD12" s="248"/>
      <c r="DWE12" s="248"/>
      <c r="DWF12" s="248"/>
      <c r="DWG12" s="248"/>
      <c r="DWH12" s="248"/>
      <c r="DWI12" s="248"/>
      <c r="DWJ12" s="248"/>
      <c r="DWK12" s="248"/>
      <c r="DWL12" s="248"/>
      <c r="DWM12" s="248"/>
      <c r="DWN12" s="248"/>
      <c r="DWO12" s="248"/>
      <c r="DWP12" s="248"/>
      <c r="DWQ12" s="248"/>
      <c r="DWR12" s="248"/>
      <c r="DWS12" s="248"/>
      <c r="DWT12" s="248"/>
      <c r="DWU12" s="248"/>
      <c r="DWV12" s="248"/>
      <c r="DWW12" s="248"/>
      <c r="DWX12" s="248"/>
      <c r="DWY12" s="248"/>
      <c r="DWZ12" s="248"/>
      <c r="DXA12" s="248"/>
      <c r="DXB12" s="248"/>
      <c r="DXC12" s="248"/>
      <c r="DXD12" s="248"/>
      <c r="DXE12" s="248"/>
      <c r="DXF12" s="248"/>
      <c r="DXG12" s="248"/>
      <c r="DXH12" s="248"/>
      <c r="DXI12" s="248"/>
      <c r="DXJ12" s="248"/>
      <c r="DXK12" s="248"/>
      <c r="DXL12" s="248"/>
      <c r="DXM12" s="248"/>
      <c r="DXN12" s="248"/>
      <c r="DXO12" s="248"/>
      <c r="DXP12" s="248"/>
      <c r="DXQ12" s="248"/>
      <c r="DXR12" s="248"/>
      <c r="DXS12" s="248"/>
      <c r="DXT12" s="248"/>
      <c r="DXU12" s="248"/>
      <c r="DXV12" s="248"/>
      <c r="DXW12" s="248"/>
      <c r="DXX12" s="248"/>
      <c r="DXY12" s="248"/>
      <c r="DXZ12" s="248"/>
      <c r="DYA12" s="248"/>
      <c r="DYB12" s="248"/>
      <c r="DYC12" s="248"/>
      <c r="DYD12" s="248"/>
      <c r="DYE12" s="248"/>
      <c r="DYF12" s="248"/>
      <c r="DYG12" s="248"/>
      <c r="DYH12" s="248"/>
      <c r="DYI12" s="248"/>
      <c r="DYJ12" s="248"/>
      <c r="DYK12" s="248"/>
      <c r="DYL12" s="248"/>
      <c r="DYM12" s="248"/>
      <c r="DYN12" s="248"/>
      <c r="DYO12" s="248"/>
      <c r="DYP12" s="248"/>
      <c r="DYQ12" s="248"/>
      <c r="DYR12" s="248"/>
      <c r="DYS12" s="248"/>
      <c r="DYT12" s="248"/>
      <c r="DYU12" s="248"/>
      <c r="DYV12" s="248"/>
      <c r="DYW12" s="248"/>
      <c r="DYX12" s="248"/>
      <c r="DYY12" s="248"/>
      <c r="DYZ12" s="248"/>
      <c r="DZA12" s="248"/>
      <c r="DZB12" s="248"/>
      <c r="DZC12" s="248"/>
      <c r="DZD12" s="248"/>
      <c r="DZE12" s="248"/>
      <c r="DZF12" s="248"/>
      <c r="DZG12" s="248"/>
      <c r="DZH12" s="248"/>
      <c r="DZI12" s="248"/>
      <c r="DZJ12" s="248"/>
      <c r="DZK12" s="248"/>
      <c r="DZL12" s="248"/>
      <c r="DZM12" s="248"/>
      <c r="DZN12" s="248"/>
      <c r="DZO12" s="248"/>
      <c r="DZP12" s="248"/>
      <c r="DZQ12" s="248"/>
      <c r="DZR12" s="248"/>
      <c r="DZS12" s="248"/>
      <c r="DZT12" s="248"/>
      <c r="DZU12" s="248"/>
      <c r="DZV12" s="248"/>
      <c r="DZW12" s="248"/>
      <c r="DZX12" s="248"/>
      <c r="DZY12" s="248"/>
      <c r="DZZ12" s="248"/>
      <c r="EAA12" s="248"/>
      <c r="EAB12" s="248"/>
      <c r="EAC12" s="248"/>
      <c r="EAD12" s="248"/>
      <c r="EAE12" s="248"/>
      <c r="EAF12" s="248"/>
      <c r="EAG12" s="248"/>
      <c r="EAH12" s="248"/>
      <c r="EAI12" s="248"/>
      <c r="EAJ12" s="248"/>
      <c r="EAK12" s="248"/>
      <c r="EAL12" s="248"/>
      <c r="EAM12" s="248"/>
      <c r="EAN12" s="248"/>
      <c r="EAO12" s="248"/>
      <c r="EAP12" s="248"/>
      <c r="EAQ12" s="248"/>
      <c r="EAR12" s="248"/>
      <c r="EAS12" s="248"/>
      <c r="EAT12" s="248"/>
      <c r="EAU12" s="248"/>
      <c r="EAV12" s="248"/>
      <c r="EAW12" s="248"/>
      <c r="EAX12" s="248"/>
      <c r="EAY12" s="248"/>
      <c r="EAZ12" s="248"/>
      <c r="EBA12" s="248"/>
      <c r="EBB12" s="248"/>
      <c r="EBC12" s="248"/>
      <c r="EBD12" s="248"/>
      <c r="EBE12" s="248"/>
      <c r="EBF12" s="248"/>
      <c r="EBG12" s="248"/>
      <c r="EBH12" s="248"/>
      <c r="EBI12" s="248"/>
      <c r="EBJ12" s="248"/>
      <c r="EBK12" s="248"/>
      <c r="EBL12" s="248"/>
      <c r="EBM12" s="248"/>
      <c r="EBN12" s="248"/>
      <c r="EBO12" s="248"/>
      <c r="EBP12" s="248"/>
      <c r="EBQ12" s="248"/>
      <c r="EBR12" s="248"/>
      <c r="EBS12" s="248"/>
      <c r="EBT12" s="248"/>
      <c r="EBU12" s="248"/>
      <c r="EBV12" s="248"/>
      <c r="EBW12" s="248"/>
      <c r="EBX12" s="248"/>
      <c r="EBY12" s="248"/>
      <c r="EBZ12" s="248"/>
      <c r="ECA12" s="248"/>
      <c r="ECB12" s="248"/>
      <c r="ECC12" s="248"/>
      <c r="ECD12" s="248"/>
      <c r="ECE12" s="248"/>
      <c r="ECF12" s="248"/>
      <c r="ECG12" s="248"/>
      <c r="ECH12" s="248"/>
      <c r="ECI12" s="248"/>
      <c r="ECJ12" s="248"/>
      <c r="ECK12" s="248"/>
      <c r="ECL12" s="248"/>
      <c r="ECM12" s="248"/>
      <c r="ECN12" s="248"/>
      <c r="ECO12" s="248"/>
      <c r="ECP12" s="248"/>
      <c r="ECQ12" s="248"/>
      <c r="ECR12" s="248"/>
      <c r="ECS12" s="248"/>
      <c r="ECT12" s="248"/>
      <c r="ECU12" s="248"/>
      <c r="ECV12" s="248"/>
      <c r="ECW12" s="248"/>
      <c r="ECX12" s="248"/>
      <c r="ECY12" s="248"/>
      <c r="ECZ12" s="248"/>
      <c r="EDA12" s="248"/>
      <c r="EDB12" s="248"/>
      <c r="EDC12" s="248"/>
      <c r="EDD12" s="248"/>
      <c r="EDE12" s="248"/>
      <c r="EDF12" s="248"/>
      <c r="EDG12" s="248"/>
      <c r="EDH12" s="248"/>
      <c r="EDI12" s="248"/>
      <c r="EDJ12" s="248"/>
      <c r="EDK12" s="248"/>
      <c r="EDL12" s="248"/>
      <c r="EDM12" s="248"/>
      <c r="EDN12" s="248"/>
      <c r="EDO12" s="248"/>
      <c r="EDP12" s="248"/>
      <c r="EDQ12" s="248"/>
      <c r="EDR12" s="248"/>
      <c r="EDS12" s="248"/>
      <c r="EDT12" s="248"/>
      <c r="EDU12" s="248"/>
      <c r="EDV12" s="248"/>
      <c r="EDW12" s="248"/>
      <c r="EDX12" s="248"/>
      <c r="EDY12" s="248"/>
      <c r="EDZ12" s="248"/>
      <c r="EEA12" s="248"/>
      <c r="EEB12" s="248"/>
      <c r="EEC12" s="248"/>
      <c r="EED12" s="248"/>
      <c r="EEE12" s="248"/>
      <c r="EEF12" s="248"/>
      <c r="EEG12" s="248"/>
      <c r="EEH12" s="248"/>
      <c r="EEI12" s="248"/>
      <c r="EEJ12" s="248"/>
      <c r="EEK12" s="248"/>
      <c r="EEL12" s="248"/>
      <c r="EEM12" s="248"/>
      <c r="EEN12" s="248"/>
      <c r="EEO12" s="248"/>
      <c r="EEP12" s="248"/>
      <c r="EEQ12" s="248"/>
      <c r="EER12" s="248"/>
      <c r="EES12" s="248"/>
      <c r="EET12" s="248"/>
      <c r="EEU12" s="248"/>
      <c r="EEV12" s="248"/>
      <c r="EEW12" s="248"/>
      <c r="EEX12" s="248"/>
      <c r="EEY12" s="248"/>
      <c r="EEZ12" s="248"/>
      <c r="EFA12" s="248"/>
      <c r="EFB12" s="248"/>
      <c r="EFC12" s="248"/>
      <c r="EFD12" s="248"/>
      <c r="EFE12" s="248"/>
      <c r="EFF12" s="248"/>
      <c r="EFG12" s="248"/>
      <c r="EFH12" s="248"/>
      <c r="EFI12" s="248"/>
      <c r="EFJ12" s="248"/>
      <c r="EFK12" s="248"/>
      <c r="EFL12" s="248"/>
      <c r="EFM12" s="248"/>
      <c r="EFN12" s="248"/>
      <c r="EFO12" s="248"/>
      <c r="EFP12" s="248"/>
      <c r="EFQ12" s="248"/>
      <c r="EFR12" s="248"/>
      <c r="EFS12" s="248"/>
      <c r="EFT12" s="248"/>
      <c r="EFU12" s="248"/>
      <c r="EFV12" s="248"/>
      <c r="EFW12" s="248"/>
      <c r="EFX12" s="248"/>
      <c r="EFY12" s="248"/>
      <c r="EFZ12" s="248"/>
      <c r="EGA12" s="248"/>
      <c r="EGB12" s="248"/>
      <c r="EGC12" s="248"/>
      <c r="EGD12" s="248"/>
      <c r="EGE12" s="248"/>
      <c r="EGF12" s="248"/>
      <c r="EGG12" s="248"/>
      <c r="EGH12" s="248"/>
      <c r="EGI12" s="248"/>
      <c r="EGJ12" s="248"/>
      <c r="EGK12" s="248"/>
      <c r="EGL12" s="248"/>
      <c r="EGM12" s="248"/>
      <c r="EGN12" s="248"/>
      <c r="EGO12" s="248"/>
      <c r="EGP12" s="248"/>
      <c r="EGQ12" s="248"/>
      <c r="EGR12" s="248"/>
      <c r="EGS12" s="248"/>
      <c r="EGT12" s="248"/>
      <c r="EGU12" s="248"/>
      <c r="EGV12" s="248"/>
      <c r="EGW12" s="248"/>
      <c r="EGX12" s="248"/>
      <c r="EGY12" s="248"/>
      <c r="EGZ12" s="248"/>
      <c r="EHA12" s="248"/>
      <c r="EHB12" s="248"/>
      <c r="EHC12" s="248"/>
      <c r="EHD12" s="248"/>
      <c r="EHE12" s="248"/>
      <c r="EHF12" s="248"/>
      <c r="EHG12" s="248"/>
      <c r="EHH12" s="248"/>
      <c r="EHI12" s="248"/>
      <c r="EHJ12" s="248"/>
      <c r="EHK12" s="248"/>
      <c r="EHL12" s="248"/>
      <c r="EHM12" s="248"/>
      <c r="EHN12" s="248"/>
      <c r="EHO12" s="248"/>
      <c r="EHP12" s="248"/>
      <c r="EHQ12" s="248"/>
      <c r="EHR12" s="248"/>
      <c r="EHS12" s="248"/>
      <c r="EHT12" s="248"/>
      <c r="EHU12" s="248"/>
      <c r="EHV12" s="248"/>
      <c r="EHW12" s="248"/>
      <c r="EHX12" s="248"/>
      <c r="EHY12" s="248"/>
      <c r="EHZ12" s="248"/>
      <c r="EIA12" s="248"/>
      <c r="EIB12" s="248"/>
      <c r="EIC12" s="248"/>
      <c r="EID12" s="248"/>
      <c r="EIE12" s="248"/>
      <c r="EIF12" s="248"/>
      <c r="EIG12" s="248"/>
      <c r="EIH12" s="248"/>
      <c r="EII12" s="248"/>
      <c r="EIJ12" s="248"/>
      <c r="EIK12" s="248"/>
      <c r="EIL12" s="248"/>
      <c r="EIM12" s="248"/>
      <c r="EIN12" s="248"/>
      <c r="EIO12" s="248"/>
      <c r="EIP12" s="248"/>
      <c r="EIQ12" s="248"/>
      <c r="EIR12" s="248"/>
      <c r="EIS12" s="248"/>
      <c r="EIT12" s="248"/>
      <c r="EIU12" s="248"/>
      <c r="EIV12" s="248"/>
      <c r="EIW12" s="248"/>
      <c r="EIX12" s="248"/>
      <c r="EIY12" s="248"/>
      <c r="EIZ12" s="248"/>
      <c r="EJA12" s="248"/>
      <c r="EJB12" s="248"/>
      <c r="EJC12" s="248"/>
      <c r="EJD12" s="248"/>
      <c r="EJE12" s="248"/>
      <c r="EJF12" s="248"/>
      <c r="EJG12" s="248"/>
      <c r="EJH12" s="248"/>
      <c r="EJI12" s="248"/>
      <c r="EJJ12" s="248"/>
      <c r="EJK12" s="248"/>
      <c r="EJL12" s="248"/>
      <c r="EJM12" s="248"/>
      <c r="EJN12" s="248"/>
      <c r="EJO12" s="248"/>
      <c r="EJP12" s="248"/>
      <c r="EJQ12" s="248"/>
      <c r="EJR12" s="248"/>
      <c r="EJS12" s="248"/>
      <c r="EJT12" s="248"/>
      <c r="EJU12" s="248"/>
      <c r="EJV12" s="248"/>
      <c r="EJW12" s="248"/>
      <c r="EJX12" s="248"/>
      <c r="EJY12" s="248"/>
      <c r="EJZ12" s="248"/>
      <c r="EKA12" s="248"/>
      <c r="EKB12" s="248"/>
      <c r="EKC12" s="248"/>
      <c r="EKD12" s="248"/>
      <c r="EKE12" s="248"/>
      <c r="EKF12" s="248"/>
      <c r="EKG12" s="248"/>
      <c r="EKH12" s="248"/>
      <c r="EKI12" s="248"/>
      <c r="EKJ12" s="248"/>
      <c r="EKK12" s="248"/>
      <c r="EKL12" s="248"/>
      <c r="EKM12" s="248"/>
      <c r="EKN12" s="248"/>
      <c r="EKO12" s="248"/>
      <c r="EKP12" s="248"/>
      <c r="EKQ12" s="248"/>
      <c r="EKR12" s="248"/>
      <c r="EKS12" s="248"/>
      <c r="EKT12" s="248"/>
      <c r="EKU12" s="248"/>
      <c r="EKV12" s="248"/>
      <c r="EKW12" s="248"/>
      <c r="EKX12" s="248"/>
      <c r="EKY12" s="248"/>
      <c r="EKZ12" s="248"/>
      <c r="ELA12" s="248"/>
      <c r="ELB12" s="248"/>
      <c r="ELC12" s="248"/>
      <c r="ELD12" s="248"/>
      <c r="ELE12" s="248"/>
      <c r="ELF12" s="248"/>
      <c r="ELG12" s="248"/>
      <c r="ELH12" s="248"/>
      <c r="ELI12" s="248"/>
      <c r="ELJ12" s="248"/>
      <c r="ELK12" s="248"/>
      <c r="ELL12" s="248"/>
      <c r="ELM12" s="248"/>
      <c r="ELN12" s="248"/>
      <c r="ELO12" s="248"/>
      <c r="ELP12" s="248"/>
      <c r="ELQ12" s="248"/>
      <c r="ELR12" s="248"/>
      <c r="ELS12" s="248"/>
      <c r="ELT12" s="248"/>
      <c r="ELU12" s="248"/>
      <c r="ELV12" s="248"/>
      <c r="ELW12" s="248"/>
      <c r="ELX12" s="248"/>
      <c r="ELY12" s="248"/>
      <c r="ELZ12" s="248"/>
      <c r="EMA12" s="248"/>
      <c r="EMB12" s="248"/>
      <c r="EMC12" s="248"/>
      <c r="EMD12" s="248"/>
      <c r="EME12" s="248"/>
      <c r="EMF12" s="248"/>
      <c r="EMG12" s="248"/>
      <c r="EMH12" s="248"/>
      <c r="EMI12" s="248"/>
      <c r="EMJ12" s="248"/>
      <c r="EMK12" s="248"/>
      <c r="EML12" s="248"/>
      <c r="EMM12" s="248"/>
      <c r="EMN12" s="248"/>
      <c r="EMO12" s="248"/>
      <c r="EMP12" s="248"/>
      <c r="EMQ12" s="248"/>
      <c r="EMR12" s="248"/>
      <c r="EMS12" s="248"/>
      <c r="EMT12" s="248"/>
      <c r="EMU12" s="248"/>
      <c r="EMV12" s="248"/>
      <c r="EMW12" s="248"/>
      <c r="EMX12" s="248"/>
      <c r="EMY12" s="248"/>
      <c r="EMZ12" s="248"/>
      <c r="ENA12" s="248"/>
      <c r="ENB12" s="248"/>
      <c r="ENC12" s="248"/>
      <c r="END12" s="248"/>
      <c r="ENE12" s="248"/>
      <c r="ENF12" s="248"/>
      <c r="ENG12" s="248"/>
      <c r="ENH12" s="248"/>
      <c r="ENI12" s="248"/>
      <c r="ENJ12" s="248"/>
      <c r="ENK12" s="248"/>
      <c r="ENL12" s="248"/>
      <c r="ENM12" s="248"/>
      <c r="ENN12" s="248"/>
      <c r="ENO12" s="248"/>
      <c r="ENP12" s="248"/>
      <c r="ENQ12" s="248"/>
      <c r="ENR12" s="248"/>
      <c r="ENS12" s="248"/>
      <c r="ENT12" s="248"/>
      <c r="ENU12" s="248"/>
      <c r="ENV12" s="248"/>
      <c r="ENW12" s="248"/>
      <c r="ENX12" s="248"/>
      <c r="ENY12" s="248"/>
      <c r="ENZ12" s="248"/>
      <c r="EOA12" s="248"/>
      <c r="EOB12" s="248"/>
      <c r="EOC12" s="248"/>
      <c r="EOD12" s="248"/>
      <c r="EOE12" s="248"/>
      <c r="EOF12" s="248"/>
      <c r="EOG12" s="248"/>
      <c r="EOH12" s="248"/>
      <c r="EOI12" s="248"/>
      <c r="EOJ12" s="248"/>
      <c r="EOK12" s="248"/>
      <c r="EOL12" s="248"/>
      <c r="EOM12" s="248"/>
      <c r="EON12" s="248"/>
      <c r="EOO12" s="248"/>
      <c r="EOP12" s="248"/>
      <c r="EOQ12" s="248"/>
      <c r="EOR12" s="248"/>
      <c r="EOS12" s="248"/>
      <c r="EOT12" s="248"/>
      <c r="EOU12" s="248"/>
      <c r="EOV12" s="248"/>
      <c r="EOW12" s="248"/>
      <c r="EOX12" s="248"/>
      <c r="EOY12" s="248"/>
      <c r="EOZ12" s="248"/>
      <c r="EPA12" s="248"/>
      <c r="EPB12" s="248"/>
      <c r="EPC12" s="248"/>
      <c r="EPD12" s="248"/>
      <c r="EPE12" s="248"/>
      <c r="EPF12" s="248"/>
      <c r="EPG12" s="248"/>
      <c r="EPH12" s="248"/>
      <c r="EPI12" s="248"/>
      <c r="EPJ12" s="248"/>
      <c r="EPK12" s="248"/>
      <c r="EPL12" s="248"/>
      <c r="EPM12" s="248"/>
      <c r="EPN12" s="248"/>
      <c r="EPO12" s="248"/>
      <c r="EPP12" s="248"/>
      <c r="EPQ12" s="248"/>
      <c r="EPR12" s="248"/>
      <c r="EPS12" s="248"/>
      <c r="EPT12" s="248"/>
      <c r="EPU12" s="248"/>
      <c r="EPV12" s="248"/>
      <c r="EPW12" s="248"/>
      <c r="EPX12" s="248"/>
      <c r="EPY12" s="248"/>
      <c r="EPZ12" s="248"/>
      <c r="EQA12" s="248"/>
      <c r="EQB12" s="248"/>
      <c r="EQC12" s="248"/>
      <c r="EQD12" s="248"/>
      <c r="EQE12" s="248"/>
      <c r="EQF12" s="248"/>
      <c r="EQG12" s="248"/>
      <c r="EQH12" s="248"/>
      <c r="EQI12" s="248"/>
      <c r="EQJ12" s="248"/>
      <c r="EQK12" s="248"/>
      <c r="EQL12" s="248"/>
      <c r="EQM12" s="248"/>
      <c r="EQN12" s="248"/>
      <c r="EQO12" s="248"/>
      <c r="EQP12" s="248"/>
      <c r="EQQ12" s="248"/>
      <c r="EQR12" s="248"/>
      <c r="EQS12" s="248"/>
      <c r="EQT12" s="248"/>
      <c r="EQU12" s="248"/>
      <c r="EQV12" s="248"/>
      <c r="EQW12" s="248"/>
      <c r="EQX12" s="248"/>
      <c r="EQY12" s="248"/>
      <c r="EQZ12" s="248"/>
      <c r="ERA12" s="248"/>
      <c r="ERB12" s="248"/>
      <c r="ERC12" s="248"/>
      <c r="ERD12" s="248"/>
      <c r="ERE12" s="248"/>
      <c r="ERF12" s="248"/>
      <c r="ERG12" s="248"/>
      <c r="ERH12" s="248"/>
      <c r="ERI12" s="248"/>
      <c r="ERJ12" s="248"/>
      <c r="ERK12" s="248"/>
      <c r="ERL12" s="248"/>
      <c r="ERM12" s="248"/>
      <c r="ERN12" s="248"/>
      <c r="ERO12" s="248"/>
      <c r="ERP12" s="248"/>
      <c r="ERQ12" s="248"/>
      <c r="ERR12" s="248"/>
      <c r="ERS12" s="248"/>
      <c r="ERT12" s="248"/>
      <c r="ERU12" s="248"/>
      <c r="ERV12" s="248"/>
      <c r="ERW12" s="248"/>
      <c r="ERX12" s="248"/>
      <c r="ERY12" s="248"/>
      <c r="ERZ12" s="248"/>
      <c r="ESA12" s="248"/>
      <c r="ESB12" s="248"/>
      <c r="ESC12" s="248"/>
      <c r="ESD12" s="248"/>
      <c r="ESE12" s="248"/>
      <c r="ESF12" s="248"/>
      <c r="ESG12" s="248"/>
      <c r="ESH12" s="248"/>
      <c r="ESI12" s="248"/>
      <c r="ESJ12" s="248"/>
      <c r="ESK12" s="248"/>
      <c r="ESL12" s="248"/>
      <c r="ESM12" s="248"/>
      <c r="ESN12" s="248"/>
      <c r="ESO12" s="248"/>
      <c r="ESP12" s="248"/>
      <c r="ESQ12" s="248"/>
      <c r="ESR12" s="248"/>
      <c r="ESS12" s="248"/>
      <c r="EST12" s="248"/>
      <c r="ESU12" s="248"/>
      <c r="ESV12" s="248"/>
      <c r="ESW12" s="248"/>
      <c r="ESX12" s="248"/>
      <c r="ESY12" s="248"/>
      <c r="ESZ12" s="248"/>
      <c r="ETA12" s="248"/>
      <c r="ETB12" s="248"/>
      <c r="ETC12" s="248"/>
      <c r="ETD12" s="248"/>
      <c r="ETE12" s="248"/>
      <c r="ETF12" s="248"/>
      <c r="ETG12" s="248"/>
      <c r="ETH12" s="248"/>
      <c r="ETI12" s="248"/>
      <c r="ETJ12" s="248"/>
      <c r="ETK12" s="248"/>
      <c r="ETL12" s="248"/>
      <c r="ETM12" s="248"/>
      <c r="ETN12" s="248"/>
      <c r="ETO12" s="248"/>
      <c r="ETP12" s="248"/>
      <c r="ETQ12" s="248"/>
      <c r="ETR12" s="248"/>
      <c r="ETS12" s="248"/>
      <c r="ETT12" s="248"/>
      <c r="ETU12" s="248"/>
      <c r="ETV12" s="248"/>
      <c r="ETW12" s="248"/>
      <c r="ETX12" s="248"/>
      <c r="ETY12" s="248"/>
      <c r="ETZ12" s="248"/>
      <c r="EUA12" s="248"/>
      <c r="EUB12" s="248"/>
      <c r="EUC12" s="248"/>
      <c r="EUD12" s="248"/>
      <c r="EUE12" s="248"/>
      <c r="EUF12" s="248"/>
      <c r="EUG12" s="248"/>
      <c r="EUH12" s="248"/>
      <c r="EUI12" s="248"/>
      <c r="EUJ12" s="248"/>
      <c r="EUK12" s="248"/>
      <c r="EUL12" s="248"/>
      <c r="EUM12" s="248"/>
      <c r="EUN12" s="248"/>
      <c r="EUO12" s="248"/>
      <c r="EUP12" s="248"/>
      <c r="EUQ12" s="248"/>
      <c r="EUR12" s="248"/>
      <c r="EUS12" s="248"/>
      <c r="EUT12" s="248"/>
      <c r="EUU12" s="248"/>
      <c r="EUV12" s="248"/>
      <c r="EUW12" s="248"/>
      <c r="EUX12" s="248"/>
      <c r="EUY12" s="248"/>
      <c r="EUZ12" s="248"/>
      <c r="EVA12" s="248"/>
      <c r="EVB12" s="248"/>
      <c r="EVC12" s="248"/>
      <c r="EVD12" s="248"/>
      <c r="EVE12" s="248"/>
      <c r="EVF12" s="248"/>
      <c r="EVG12" s="248"/>
      <c r="EVH12" s="248"/>
      <c r="EVI12" s="248"/>
      <c r="EVJ12" s="248"/>
      <c r="EVK12" s="248"/>
      <c r="EVL12" s="248"/>
      <c r="EVM12" s="248"/>
      <c r="EVN12" s="248"/>
      <c r="EVO12" s="248"/>
      <c r="EVP12" s="248"/>
      <c r="EVQ12" s="248"/>
      <c r="EVR12" s="248"/>
      <c r="EVS12" s="248"/>
      <c r="EVT12" s="248"/>
      <c r="EVU12" s="248"/>
      <c r="EVV12" s="248"/>
      <c r="EVW12" s="248"/>
      <c r="EVX12" s="248"/>
      <c r="EVY12" s="248"/>
      <c r="EVZ12" s="248"/>
      <c r="EWA12" s="248"/>
      <c r="EWB12" s="248"/>
      <c r="EWC12" s="248"/>
      <c r="EWD12" s="248"/>
      <c r="EWE12" s="248"/>
      <c r="EWF12" s="248"/>
      <c r="EWG12" s="248"/>
      <c r="EWH12" s="248"/>
      <c r="EWI12" s="248"/>
      <c r="EWJ12" s="248"/>
      <c r="EWK12" s="248"/>
      <c r="EWL12" s="248"/>
      <c r="EWM12" s="248"/>
      <c r="EWN12" s="248"/>
      <c r="EWO12" s="248"/>
      <c r="EWP12" s="248"/>
      <c r="EWQ12" s="248"/>
      <c r="EWR12" s="248"/>
      <c r="EWS12" s="248"/>
      <c r="EWT12" s="248"/>
      <c r="EWU12" s="248"/>
      <c r="EWV12" s="248"/>
      <c r="EWW12" s="248"/>
      <c r="EWX12" s="248"/>
      <c r="EWY12" s="248"/>
      <c r="EWZ12" s="248"/>
      <c r="EXA12" s="248"/>
      <c r="EXB12" s="248"/>
      <c r="EXC12" s="248"/>
      <c r="EXD12" s="248"/>
      <c r="EXE12" s="248"/>
      <c r="EXF12" s="248"/>
      <c r="EXG12" s="248"/>
      <c r="EXH12" s="248"/>
      <c r="EXI12" s="248"/>
      <c r="EXJ12" s="248"/>
      <c r="EXK12" s="248"/>
      <c r="EXL12" s="248"/>
      <c r="EXM12" s="248"/>
      <c r="EXN12" s="248"/>
      <c r="EXO12" s="248"/>
      <c r="EXP12" s="248"/>
      <c r="EXQ12" s="248"/>
      <c r="EXR12" s="248"/>
      <c r="EXS12" s="248"/>
      <c r="EXT12" s="248"/>
      <c r="EXU12" s="248"/>
      <c r="EXV12" s="248"/>
      <c r="EXW12" s="248"/>
      <c r="EXX12" s="248"/>
      <c r="EXY12" s="248"/>
      <c r="EXZ12" s="248"/>
      <c r="EYA12" s="248"/>
      <c r="EYB12" s="248"/>
      <c r="EYC12" s="248"/>
      <c r="EYD12" s="248"/>
      <c r="EYE12" s="248"/>
      <c r="EYF12" s="248"/>
      <c r="EYG12" s="248"/>
      <c r="EYH12" s="248"/>
      <c r="EYI12" s="248"/>
      <c r="EYJ12" s="248"/>
      <c r="EYK12" s="248"/>
      <c r="EYL12" s="248"/>
      <c r="EYM12" s="248"/>
      <c r="EYN12" s="248"/>
      <c r="EYO12" s="248"/>
      <c r="EYP12" s="248"/>
      <c r="EYQ12" s="248"/>
      <c r="EYR12" s="248"/>
      <c r="EYS12" s="248"/>
      <c r="EYT12" s="248"/>
      <c r="EYU12" s="248"/>
      <c r="EYV12" s="248"/>
      <c r="EYW12" s="248"/>
      <c r="EYX12" s="248"/>
      <c r="EYY12" s="248"/>
      <c r="EYZ12" s="248"/>
      <c r="EZA12" s="248"/>
      <c r="EZB12" s="248"/>
      <c r="EZC12" s="248"/>
      <c r="EZD12" s="248"/>
      <c r="EZE12" s="248"/>
      <c r="EZF12" s="248"/>
      <c r="EZG12" s="248"/>
      <c r="EZH12" s="248"/>
      <c r="EZI12" s="248"/>
      <c r="EZJ12" s="248"/>
      <c r="EZK12" s="248"/>
      <c r="EZL12" s="248"/>
      <c r="EZM12" s="248"/>
      <c r="EZN12" s="248"/>
      <c r="EZO12" s="248"/>
      <c r="EZP12" s="248"/>
      <c r="EZQ12" s="248"/>
      <c r="EZR12" s="248"/>
      <c r="EZS12" s="248"/>
      <c r="EZT12" s="248"/>
      <c r="EZU12" s="248"/>
      <c r="EZV12" s="248"/>
      <c r="EZW12" s="248"/>
      <c r="EZX12" s="248"/>
      <c r="EZY12" s="248"/>
      <c r="EZZ12" s="248"/>
      <c r="FAA12" s="248"/>
      <c r="FAB12" s="248"/>
      <c r="FAC12" s="248"/>
      <c r="FAD12" s="248"/>
      <c r="FAE12" s="248"/>
      <c r="FAF12" s="248"/>
      <c r="FAG12" s="248"/>
      <c r="FAH12" s="248"/>
      <c r="FAI12" s="248"/>
      <c r="FAJ12" s="248"/>
      <c r="FAK12" s="248"/>
      <c r="FAL12" s="248"/>
      <c r="FAM12" s="248"/>
      <c r="FAN12" s="248"/>
      <c r="FAO12" s="248"/>
      <c r="FAP12" s="248"/>
      <c r="FAQ12" s="248"/>
      <c r="FAR12" s="248"/>
      <c r="FAS12" s="248"/>
      <c r="FAT12" s="248"/>
      <c r="FAU12" s="248"/>
      <c r="FAV12" s="248"/>
      <c r="FAW12" s="248"/>
      <c r="FAX12" s="248"/>
      <c r="FAY12" s="248"/>
      <c r="FAZ12" s="248"/>
      <c r="FBA12" s="248"/>
      <c r="FBB12" s="248"/>
      <c r="FBC12" s="248"/>
      <c r="FBD12" s="248"/>
      <c r="FBE12" s="248"/>
      <c r="FBF12" s="248"/>
      <c r="FBG12" s="248"/>
      <c r="FBH12" s="248"/>
      <c r="FBI12" s="248"/>
      <c r="FBJ12" s="248"/>
      <c r="FBK12" s="248"/>
      <c r="FBL12" s="248"/>
      <c r="FBM12" s="248"/>
      <c r="FBN12" s="248"/>
      <c r="FBO12" s="248"/>
      <c r="FBP12" s="248"/>
      <c r="FBQ12" s="248"/>
      <c r="FBR12" s="248"/>
      <c r="FBS12" s="248"/>
      <c r="FBT12" s="248"/>
      <c r="FBU12" s="248"/>
      <c r="FBV12" s="248"/>
      <c r="FBW12" s="248"/>
      <c r="FBX12" s="248"/>
      <c r="FBY12" s="248"/>
      <c r="FBZ12" s="248"/>
      <c r="FCA12" s="248"/>
      <c r="FCB12" s="248"/>
      <c r="FCC12" s="248"/>
      <c r="FCD12" s="248"/>
      <c r="FCE12" s="248"/>
      <c r="FCF12" s="248"/>
      <c r="FCG12" s="248"/>
      <c r="FCH12" s="248"/>
      <c r="FCI12" s="248"/>
      <c r="FCJ12" s="248"/>
      <c r="FCK12" s="248"/>
      <c r="FCL12" s="248"/>
      <c r="FCM12" s="248"/>
      <c r="FCN12" s="248"/>
      <c r="FCO12" s="248"/>
      <c r="FCP12" s="248"/>
      <c r="FCQ12" s="248"/>
      <c r="FCR12" s="248"/>
      <c r="FCS12" s="248"/>
      <c r="FCT12" s="248"/>
      <c r="FCU12" s="248"/>
      <c r="FCV12" s="248"/>
      <c r="FCW12" s="248"/>
      <c r="FCX12" s="248"/>
      <c r="FCY12" s="248"/>
      <c r="FCZ12" s="248"/>
      <c r="FDA12" s="248"/>
      <c r="FDB12" s="248"/>
      <c r="FDC12" s="248"/>
      <c r="FDD12" s="248"/>
      <c r="FDE12" s="248"/>
      <c r="FDF12" s="248"/>
      <c r="FDG12" s="248"/>
      <c r="FDH12" s="248"/>
      <c r="FDI12" s="248"/>
      <c r="FDJ12" s="248"/>
      <c r="FDK12" s="248"/>
      <c r="FDL12" s="248"/>
      <c r="FDM12" s="248"/>
      <c r="FDN12" s="248"/>
      <c r="FDO12" s="248"/>
      <c r="FDP12" s="248"/>
      <c r="FDQ12" s="248"/>
      <c r="FDR12" s="248"/>
      <c r="FDS12" s="248"/>
      <c r="FDT12" s="248"/>
      <c r="FDU12" s="248"/>
      <c r="FDV12" s="248"/>
      <c r="FDW12" s="248"/>
      <c r="FDX12" s="248"/>
      <c r="FDY12" s="248"/>
      <c r="FDZ12" s="248"/>
      <c r="FEA12" s="248"/>
      <c r="FEB12" s="248"/>
      <c r="FEC12" s="248"/>
      <c r="FED12" s="248"/>
      <c r="FEE12" s="248"/>
      <c r="FEF12" s="248"/>
      <c r="FEG12" s="248"/>
      <c r="FEH12" s="248"/>
      <c r="FEI12" s="248"/>
      <c r="FEJ12" s="248"/>
      <c r="FEK12" s="248"/>
      <c r="FEL12" s="248"/>
      <c r="FEM12" s="248"/>
      <c r="FEN12" s="248"/>
      <c r="FEO12" s="248"/>
      <c r="FEP12" s="248"/>
      <c r="FEQ12" s="248"/>
      <c r="FER12" s="248"/>
      <c r="FES12" s="248"/>
      <c r="FET12" s="248"/>
      <c r="FEU12" s="248"/>
      <c r="FEV12" s="248"/>
      <c r="FEW12" s="248"/>
      <c r="FEX12" s="248"/>
      <c r="FEY12" s="248"/>
      <c r="FEZ12" s="248"/>
      <c r="FFA12" s="248"/>
      <c r="FFB12" s="248"/>
      <c r="FFC12" s="248"/>
      <c r="FFD12" s="248"/>
      <c r="FFE12" s="248"/>
      <c r="FFF12" s="248"/>
      <c r="FFG12" s="248"/>
      <c r="FFH12" s="248"/>
      <c r="FFI12" s="248"/>
      <c r="FFJ12" s="248"/>
      <c r="FFK12" s="248"/>
      <c r="FFL12" s="248"/>
      <c r="FFM12" s="248"/>
      <c r="FFN12" s="248"/>
      <c r="FFO12" s="248"/>
      <c r="FFP12" s="248"/>
      <c r="FFQ12" s="248"/>
      <c r="FFR12" s="248"/>
      <c r="FFS12" s="248"/>
      <c r="FFT12" s="248"/>
      <c r="FFU12" s="248"/>
      <c r="FFV12" s="248"/>
      <c r="FFW12" s="248"/>
      <c r="FFX12" s="248"/>
      <c r="FFY12" s="248"/>
      <c r="FFZ12" s="248"/>
      <c r="FGA12" s="248"/>
      <c r="FGB12" s="248"/>
      <c r="FGC12" s="248"/>
      <c r="FGD12" s="248"/>
      <c r="FGE12" s="248"/>
      <c r="FGF12" s="248"/>
      <c r="FGG12" s="248"/>
      <c r="FGH12" s="248"/>
      <c r="FGI12" s="248"/>
      <c r="FGJ12" s="248"/>
      <c r="FGK12" s="248"/>
      <c r="FGL12" s="248"/>
      <c r="FGM12" s="248"/>
      <c r="FGN12" s="248"/>
      <c r="FGO12" s="248"/>
      <c r="FGP12" s="248"/>
      <c r="FGQ12" s="248"/>
      <c r="FGR12" s="248"/>
      <c r="FGS12" s="248"/>
      <c r="FGT12" s="248"/>
      <c r="FGU12" s="248"/>
      <c r="FGV12" s="248"/>
      <c r="FGW12" s="248"/>
      <c r="FGX12" s="248"/>
      <c r="FGY12" s="248"/>
      <c r="FGZ12" s="248"/>
      <c r="FHA12" s="248"/>
      <c r="FHB12" s="248"/>
      <c r="FHC12" s="248"/>
      <c r="FHD12" s="248"/>
      <c r="FHE12" s="248"/>
      <c r="FHF12" s="248"/>
      <c r="FHG12" s="248"/>
      <c r="FHH12" s="248"/>
      <c r="FHI12" s="248"/>
      <c r="FHJ12" s="248"/>
      <c r="FHK12" s="248"/>
      <c r="FHL12" s="248"/>
      <c r="FHM12" s="248"/>
      <c r="FHN12" s="248"/>
      <c r="FHO12" s="248"/>
      <c r="FHP12" s="248"/>
      <c r="FHQ12" s="248"/>
      <c r="FHR12" s="248"/>
      <c r="FHS12" s="248"/>
      <c r="FHT12" s="248"/>
      <c r="FHU12" s="248"/>
      <c r="FHV12" s="248"/>
      <c r="FHW12" s="248"/>
      <c r="FHX12" s="248"/>
      <c r="FHY12" s="248"/>
      <c r="FHZ12" s="248"/>
      <c r="FIA12" s="248"/>
      <c r="FIB12" s="248"/>
      <c r="FIC12" s="248"/>
      <c r="FID12" s="248"/>
      <c r="FIE12" s="248"/>
      <c r="FIF12" s="248"/>
      <c r="FIG12" s="248"/>
      <c r="FIH12" s="248"/>
      <c r="FII12" s="248"/>
      <c r="FIJ12" s="248"/>
      <c r="FIK12" s="248"/>
      <c r="FIL12" s="248"/>
      <c r="FIM12" s="248"/>
      <c r="FIN12" s="248"/>
      <c r="FIO12" s="248"/>
      <c r="FIP12" s="248"/>
      <c r="FIQ12" s="248"/>
      <c r="FIR12" s="248"/>
      <c r="FIS12" s="248"/>
      <c r="FIT12" s="248"/>
      <c r="FIU12" s="248"/>
      <c r="FIV12" s="248"/>
      <c r="FIW12" s="248"/>
      <c r="FIX12" s="248"/>
      <c r="FIY12" s="248"/>
      <c r="FIZ12" s="248"/>
      <c r="FJA12" s="248"/>
      <c r="FJB12" s="248"/>
      <c r="FJC12" s="248"/>
      <c r="FJD12" s="248"/>
      <c r="FJE12" s="248"/>
      <c r="FJF12" s="248"/>
      <c r="FJG12" s="248"/>
      <c r="FJH12" s="248"/>
      <c r="FJI12" s="248"/>
      <c r="FJJ12" s="248"/>
      <c r="FJK12" s="248"/>
      <c r="FJL12" s="248"/>
      <c r="FJM12" s="248"/>
      <c r="FJN12" s="248"/>
      <c r="FJO12" s="248"/>
      <c r="FJP12" s="248"/>
      <c r="FJQ12" s="248"/>
      <c r="FJR12" s="248"/>
      <c r="FJS12" s="248"/>
      <c r="FJT12" s="248"/>
      <c r="FJU12" s="248"/>
      <c r="FJV12" s="248"/>
      <c r="FJW12" s="248"/>
      <c r="FJX12" s="248"/>
      <c r="FJY12" s="248"/>
      <c r="FJZ12" s="248"/>
      <c r="FKA12" s="248"/>
      <c r="FKB12" s="248"/>
      <c r="FKC12" s="248"/>
      <c r="FKD12" s="248"/>
      <c r="FKE12" s="248"/>
      <c r="FKF12" s="248"/>
      <c r="FKG12" s="248"/>
      <c r="FKH12" s="248"/>
      <c r="FKI12" s="248"/>
      <c r="FKJ12" s="248"/>
      <c r="FKK12" s="248"/>
      <c r="FKL12" s="248"/>
      <c r="FKM12" s="248"/>
      <c r="FKN12" s="248"/>
      <c r="FKO12" s="248"/>
      <c r="FKP12" s="248"/>
      <c r="FKQ12" s="248"/>
      <c r="FKR12" s="248"/>
      <c r="FKS12" s="248"/>
      <c r="FKT12" s="248"/>
      <c r="FKU12" s="248"/>
      <c r="FKV12" s="248"/>
      <c r="FKW12" s="248"/>
      <c r="FKX12" s="248"/>
      <c r="FKY12" s="248"/>
      <c r="FKZ12" s="248"/>
      <c r="FLA12" s="248"/>
      <c r="FLB12" s="248"/>
      <c r="FLC12" s="248"/>
      <c r="FLD12" s="248"/>
      <c r="FLE12" s="248"/>
      <c r="FLF12" s="248"/>
      <c r="FLG12" s="248"/>
      <c r="FLH12" s="248"/>
      <c r="FLI12" s="248"/>
      <c r="FLJ12" s="248"/>
      <c r="FLK12" s="248"/>
      <c r="FLL12" s="248"/>
      <c r="FLM12" s="248"/>
      <c r="FLN12" s="248"/>
      <c r="FLO12" s="248"/>
      <c r="FLP12" s="248"/>
      <c r="FLQ12" s="248"/>
      <c r="FLR12" s="248"/>
      <c r="FLS12" s="248"/>
      <c r="FLT12" s="248"/>
      <c r="FLU12" s="248"/>
      <c r="FLV12" s="248"/>
      <c r="FLW12" s="248"/>
      <c r="FLX12" s="248"/>
      <c r="FLY12" s="248"/>
      <c r="FLZ12" s="248"/>
      <c r="FMA12" s="248"/>
      <c r="FMB12" s="248"/>
      <c r="FMC12" s="248"/>
      <c r="FMD12" s="248"/>
      <c r="FME12" s="248"/>
      <c r="FMF12" s="248"/>
      <c r="FMG12" s="248"/>
      <c r="FMH12" s="248"/>
      <c r="FMI12" s="248"/>
      <c r="FMJ12" s="248"/>
      <c r="FMK12" s="248"/>
      <c r="FML12" s="248"/>
      <c r="FMM12" s="248"/>
      <c r="FMN12" s="248"/>
      <c r="FMO12" s="248"/>
      <c r="FMP12" s="248"/>
      <c r="FMQ12" s="248"/>
      <c r="FMR12" s="248"/>
      <c r="FMS12" s="248"/>
      <c r="FMT12" s="248"/>
      <c r="FMU12" s="248"/>
      <c r="FMV12" s="248"/>
      <c r="FMW12" s="248"/>
      <c r="FMX12" s="248"/>
      <c r="FMY12" s="248"/>
      <c r="FMZ12" s="248"/>
      <c r="FNA12" s="248"/>
      <c r="FNB12" s="248"/>
      <c r="FNC12" s="248"/>
      <c r="FND12" s="248"/>
      <c r="FNE12" s="248"/>
      <c r="FNF12" s="248"/>
      <c r="FNG12" s="248"/>
      <c r="FNH12" s="248"/>
      <c r="FNI12" s="248"/>
      <c r="FNJ12" s="248"/>
      <c r="FNK12" s="248"/>
      <c r="FNL12" s="248"/>
      <c r="FNM12" s="248"/>
      <c r="FNN12" s="248"/>
      <c r="FNO12" s="248"/>
      <c r="FNP12" s="248"/>
      <c r="FNQ12" s="248"/>
      <c r="FNR12" s="248"/>
      <c r="FNS12" s="248"/>
      <c r="FNT12" s="248"/>
      <c r="FNU12" s="248"/>
      <c r="FNV12" s="248"/>
      <c r="FNW12" s="248"/>
      <c r="FNX12" s="248"/>
      <c r="FNY12" s="248"/>
      <c r="FNZ12" s="248"/>
      <c r="FOA12" s="248"/>
      <c r="FOB12" s="248"/>
      <c r="FOC12" s="248"/>
      <c r="FOD12" s="248"/>
      <c r="FOE12" s="248"/>
      <c r="FOF12" s="248"/>
      <c r="FOG12" s="248"/>
      <c r="FOH12" s="248"/>
      <c r="FOI12" s="248"/>
      <c r="FOJ12" s="248"/>
      <c r="FOK12" s="248"/>
      <c r="FOL12" s="248"/>
      <c r="FOM12" s="248"/>
      <c r="FON12" s="248"/>
      <c r="FOO12" s="248"/>
      <c r="FOP12" s="248"/>
      <c r="FOQ12" s="248"/>
      <c r="FOR12" s="248"/>
      <c r="FOS12" s="248"/>
      <c r="FOT12" s="248"/>
      <c r="FOU12" s="248"/>
      <c r="FOV12" s="248"/>
      <c r="FOW12" s="248"/>
      <c r="FOX12" s="248"/>
      <c r="FOY12" s="248"/>
      <c r="FOZ12" s="248"/>
      <c r="FPA12" s="248"/>
      <c r="FPB12" s="248"/>
      <c r="FPC12" s="248"/>
      <c r="FPD12" s="248"/>
      <c r="FPE12" s="248"/>
      <c r="FPF12" s="248"/>
      <c r="FPG12" s="248"/>
      <c r="FPH12" s="248"/>
      <c r="FPI12" s="248"/>
      <c r="FPJ12" s="248"/>
      <c r="FPK12" s="248"/>
      <c r="FPL12" s="248"/>
      <c r="FPM12" s="248"/>
      <c r="FPN12" s="248"/>
      <c r="FPO12" s="248"/>
      <c r="FPP12" s="248"/>
      <c r="FPQ12" s="248"/>
      <c r="FPR12" s="248"/>
      <c r="FPS12" s="248"/>
      <c r="FPT12" s="248"/>
      <c r="FPU12" s="248"/>
      <c r="FPV12" s="248"/>
      <c r="FPW12" s="248"/>
      <c r="FPX12" s="248"/>
      <c r="FPY12" s="248"/>
      <c r="FPZ12" s="248"/>
      <c r="FQA12" s="248"/>
      <c r="FQB12" s="248"/>
      <c r="FQC12" s="248"/>
      <c r="FQD12" s="248"/>
      <c r="FQE12" s="248"/>
      <c r="FQF12" s="248"/>
      <c r="FQG12" s="248"/>
      <c r="FQH12" s="248"/>
      <c r="FQI12" s="248"/>
      <c r="FQJ12" s="248"/>
      <c r="FQK12" s="248"/>
      <c r="FQL12" s="248"/>
      <c r="FQM12" s="248"/>
      <c r="FQN12" s="248"/>
      <c r="FQO12" s="248"/>
      <c r="FQP12" s="248"/>
      <c r="FQQ12" s="248"/>
      <c r="FQR12" s="248"/>
      <c r="FQS12" s="248"/>
      <c r="FQT12" s="248"/>
      <c r="FQU12" s="248"/>
      <c r="FQV12" s="248"/>
      <c r="FQW12" s="248"/>
      <c r="FQX12" s="248"/>
      <c r="FQY12" s="248"/>
      <c r="FQZ12" s="248"/>
      <c r="FRA12" s="248"/>
      <c r="FRB12" s="248"/>
      <c r="FRC12" s="248"/>
      <c r="FRD12" s="248"/>
      <c r="FRE12" s="248"/>
      <c r="FRF12" s="248"/>
      <c r="FRG12" s="248"/>
      <c r="FRH12" s="248"/>
      <c r="FRI12" s="248"/>
      <c r="FRJ12" s="248"/>
      <c r="FRK12" s="248"/>
      <c r="FRL12" s="248"/>
      <c r="FRM12" s="248"/>
      <c r="FRN12" s="248"/>
      <c r="FRO12" s="248"/>
      <c r="FRP12" s="248"/>
      <c r="FRQ12" s="248"/>
      <c r="FRR12" s="248"/>
      <c r="FRS12" s="248"/>
      <c r="FRT12" s="248"/>
      <c r="FRU12" s="248"/>
      <c r="FRV12" s="248"/>
      <c r="FRW12" s="248"/>
      <c r="FRX12" s="248"/>
      <c r="FRY12" s="248"/>
      <c r="FRZ12" s="248"/>
      <c r="FSA12" s="248"/>
      <c r="FSB12" s="248"/>
      <c r="FSC12" s="248"/>
      <c r="FSD12" s="248"/>
      <c r="FSE12" s="248"/>
      <c r="FSF12" s="248"/>
      <c r="FSG12" s="248"/>
      <c r="FSH12" s="248"/>
      <c r="FSI12" s="248"/>
      <c r="FSJ12" s="248"/>
      <c r="FSK12" s="248"/>
      <c r="FSL12" s="248"/>
      <c r="FSM12" s="248"/>
      <c r="FSN12" s="248"/>
      <c r="FSO12" s="248"/>
      <c r="FSP12" s="248"/>
      <c r="FSQ12" s="248"/>
      <c r="FSR12" s="248"/>
      <c r="FSS12" s="248"/>
      <c r="FST12" s="248"/>
      <c r="FSU12" s="248"/>
      <c r="FSV12" s="248"/>
      <c r="FSW12" s="248"/>
      <c r="FSX12" s="248"/>
      <c r="FSY12" s="248"/>
      <c r="FSZ12" s="248"/>
      <c r="FTA12" s="248"/>
      <c r="FTB12" s="248"/>
      <c r="FTC12" s="248"/>
      <c r="FTD12" s="248"/>
      <c r="FTE12" s="248"/>
      <c r="FTF12" s="248"/>
      <c r="FTG12" s="248"/>
      <c r="FTH12" s="248"/>
      <c r="FTI12" s="248"/>
      <c r="FTJ12" s="248"/>
      <c r="FTK12" s="248"/>
      <c r="FTL12" s="248"/>
      <c r="FTM12" s="248"/>
      <c r="FTN12" s="248"/>
      <c r="FTO12" s="248"/>
      <c r="FTP12" s="248"/>
      <c r="FTQ12" s="248"/>
      <c r="FTR12" s="248"/>
      <c r="FTS12" s="248"/>
      <c r="FTT12" s="248"/>
      <c r="FTU12" s="248"/>
      <c r="FTV12" s="248"/>
      <c r="FTW12" s="248"/>
      <c r="FTX12" s="248"/>
      <c r="FTY12" s="248"/>
      <c r="FTZ12" s="248"/>
      <c r="FUA12" s="248"/>
      <c r="FUB12" s="248"/>
      <c r="FUC12" s="248"/>
      <c r="FUD12" s="248"/>
      <c r="FUE12" s="248"/>
      <c r="FUF12" s="248"/>
      <c r="FUG12" s="248"/>
      <c r="FUH12" s="248"/>
      <c r="FUI12" s="248"/>
      <c r="FUJ12" s="248"/>
      <c r="FUK12" s="248"/>
      <c r="FUL12" s="248"/>
      <c r="FUM12" s="248"/>
      <c r="FUN12" s="248"/>
      <c r="FUO12" s="248"/>
      <c r="FUP12" s="248"/>
      <c r="FUQ12" s="248"/>
      <c r="FUR12" s="248"/>
      <c r="FUS12" s="248"/>
      <c r="FUT12" s="248"/>
      <c r="FUU12" s="248"/>
      <c r="FUV12" s="248"/>
      <c r="FUW12" s="248"/>
      <c r="FUX12" s="248"/>
      <c r="FUY12" s="248"/>
      <c r="FUZ12" s="248"/>
      <c r="FVA12" s="248"/>
      <c r="FVB12" s="248"/>
      <c r="FVC12" s="248"/>
      <c r="FVD12" s="248"/>
      <c r="FVE12" s="248"/>
      <c r="FVF12" s="248"/>
      <c r="FVG12" s="248"/>
      <c r="FVH12" s="248"/>
      <c r="FVI12" s="248"/>
      <c r="FVJ12" s="248"/>
      <c r="FVK12" s="248"/>
      <c r="FVL12" s="248"/>
      <c r="FVM12" s="248"/>
      <c r="FVN12" s="248"/>
      <c r="FVO12" s="248"/>
      <c r="FVP12" s="248"/>
      <c r="FVQ12" s="248"/>
      <c r="FVR12" s="248"/>
      <c r="FVS12" s="248"/>
      <c r="FVT12" s="248"/>
      <c r="FVU12" s="248"/>
      <c r="FVV12" s="248"/>
      <c r="FVW12" s="248"/>
      <c r="FVX12" s="248"/>
      <c r="FVY12" s="248"/>
      <c r="FVZ12" s="248"/>
      <c r="FWA12" s="248"/>
      <c r="FWB12" s="248"/>
      <c r="FWC12" s="248"/>
      <c r="FWD12" s="248"/>
      <c r="FWE12" s="248"/>
      <c r="FWF12" s="248"/>
      <c r="FWG12" s="248"/>
      <c r="FWH12" s="248"/>
      <c r="FWI12" s="248"/>
      <c r="FWJ12" s="248"/>
      <c r="FWK12" s="248"/>
      <c r="FWL12" s="248"/>
      <c r="FWM12" s="248"/>
      <c r="FWN12" s="248"/>
      <c r="FWO12" s="248"/>
      <c r="FWP12" s="248"/>
      <c r="FWQ12" s="248"/>
      <c r="FWR12" s="248"/>
      <c r="FWS12" s="248"/>
      <c r="FWT12" s="248"/>
      <c r="FWU12" s="248"/>
      <c r="FWV12" s="248"/>
      <c r="FWW12" s="248"/>
      <c r="FWX12" s="248"/>
      <c r="FWY12" s="248"/>
      <c r="FWZ12" s="248"/>
      <c r="FXA12" s="248"/>
      <c r="FXB12" s="248"/>
      <c r="FXC12" s="248"/>
      <c r="FXD12" s="248"/>
      <c r="FXE12" s="248"/>
      <c r="FXF12" s="248"/>
      <c r="FXG12" s="248"/>
      <c r="FXH12" s="248"/>
      <c r="FXI12" s="248"/>
      <c r="FXJ12" s="248"/>
      <c r="FXK12" s="248"/>
      <c r="FXL12" s="248"/>
      <c r="FXM12" s="248"/>
      <c r="FXN12" s="248"/>
      <c r="FXO12" s="248"/>
      <c r="FXP12" s="248"/>
      <c r="FXQ12" s="248"/>
      <c r="FXR12" s="248"/>
      <c r="FXS12" s="248"/>
      <c r="FXT12" s="248"/>
      <c r="FXU12" s="248"/>
      <c r="FXV12" s="248"/>
      <c r="FXW12" s="248"/>
      <c r="FXX12" s="248"/>
      <c r="FXY12" s="248"/>
      <c r="FXZ12" s="248"/>
      <c r="FYA12" s="248"/>
      <c r="FYB12" s="248"/>
      <c r="FYC12" s="248"/>
      <c r="FYD12" s="248"/>
      <c r="FYE12" s="248"/>
      <c r="FYF12" s="248"/>
      <c r="FYG12" s="248"/>
      <c r="FYH12" s="248"/>
      <c r="FYI12" s="248"/>
      <c r="FYJ12" s="248"/>
      <c r="FYK12" s="248"/>
      <c r="FYL12" s="248"/>
      <c r="FYM12" s="248"/>
      <c r="FYN12" s="248"/>
      <c r="FYO12" s="248"/>
      <c r="FYP12" s="248"/>
      <c r="FYQ12" s="248"/>
      <c r="FYR12" s="248"/>
      <c r="FYS12" s="248"/>
      <c r="FYT12" s="248"/>
      <c r="FYU12" s="248"/>
      <c r="FYV12" s="248"/>
      <c r="FYW12" s="248"/>
      <c r="FYX12" s="248"/>
      <c r="FYY12" s="248"/>
      <c r="FYZ12" s="248"/>
      <c r="FZA12" s="248"/>
      <c r="FZB12" s="248"/>
      <c r="FZC12" s="248"/>
      <c r="FZD12" s="248"/>
      <c r="FZE12" s="248"/>
      <c r="FZF12" s="248"/>
      <c r="FZG12" s="248"/>
      <c r="FZH12" s="248"/>
      <c r="FZI12" s="248"/>
      <c r="FZJ12" s="248"/>
      <c r="FZK12" s="248"/>
      <c r="FZL12" s="248"/>
      <c r="FZM12" s="248"/>
      <c r="FZN12" s="248"/>
      <c r="FZO12" s="248"/>
      <c r="FZP12" s="248"/>
      <c r="FZQ12" s="248"/>
      <c r="FZR12" s="248"/>
      <c r="FZS12" s="248"/>
      <c r="FZT12" s="248"/>
      <c r="FZU12" s="248"/>
      <c r="FZV12" s="248"/>
      <c r="FZW12" s="248"/>
      <c r="FZX12" s="248"/>
      <c r="FZY12" s="248"/>
      <c r="FZZ12" s="248"/>
      <c r="GAA12" s="248"/>
      <c r="GAB12" s="248"/>
      <c r="GAC12" s="248"/>
      <c r="GAD12" s="248"/>
      <c r="GAE12" s="248"/>
      <c r="GAF12" s="248"/>
      <c r="GAG12" s="248"/>
      <c r="GAH12" s="248"/>
      <c r="GAI12" s="248"/>
      <c r="GAJ12" s="248"/>
      <c r="GAK12" s="248"/>
      <c r="GAL12" s="248"/>
      <c r="GAM12" s="248"/>
      <c r="GAN12" s="248"/>
      <c r="GAO12" s="248"/>
      <c r="GAP12" s="248"/>
      <c r="GAQ12" s="248"/>
      <c r="GAR12" s="248"/>
      <c r="GAS12" s="248"/>
      <c r="GAT12" s="248"/>
      <c r="GAU12" s="248"/>
      <c r="GAV12" s="248"/>
      <c r="GAW12" s="248"/>
      <c r="GAX12" s="248"/>
      <c r="GAY12" s="248"/>
      <c r="GAZ12" s="248"/>
      <c r="GBA12" s="248"/>
      <c r="GBB12" s="248"/>
      <c r="GBC12" s="248"/>
      <c r="GBD12" s="248"/>
      <c r="GBE12" s="248"/>
      <c r="GBF12" s="248"/>
      <c r="GBG12" s="248"/>
      <c r="GBH12" s="248"/>
      <c r="GBI12" s="248"/>
      <c r="GBJ12" s="248"/>
      <c r="GBK12" s="248"/>
      <c r="GBL12" s="248"/>
      <c r="GBM12" s="248"/>
      <c r="GBN12" s="248"/>
      <c r="GBO12" s="248"/>
      <c r="GBP12" s="248"/>
      <c r="GBQ12" s="248"/>
      <c r="GBR12" s="248"/>
      <c r="GBS12" s="248"/>
      <c r="GBT12" s="248"/>
      <c r="GBU12" s="248"/>
      <c r="GBV12" s="248"/>
      <c r="GBW12" s="248"/>
      <c r="GBX12" s="248"/>
      <c r="GBY12" s="248"/>
      <c r="GBZ12" s="248"/>
      <c r="GCA12" s="248"/>
      <c r="GCB12" s="248"/>
      <c r="GCC12" s="248"/>
      <c r="GCD12" s="248"/>
      <c r="GCE12" s="248"/>
      <c r="GCF12" s="248"/>
      <c r="GCG12" s="248"/>
      <c r="GCH12" s="248"/>
      <c r="GCI12" s="248"/>
      <c r="GCJ12" s="248"/>
      <c r="GCK12" s="248"/>
      <c r="GCL12" s="248"/>
      <c r="GCM12" s="248"/>
      <c r="GCN12" s="248"/>
      <c r="GCO12" s="248"/>
      <c r="GCP12" s="248"/>
      <c r="GCQ12" s="248"/>
      <c r="GCR12" s="248"/>
      <c r="GCS12" s="248"/>
      <c r="GCT12" s="248"/>
      <c r="GCU12" s="248"/>
      <c r="GCV12" s="248"/>
      <c r="GCW12" s="248"/>
      <c r="GCX12" s="248"/>
      <c r="GCY12" s="248"/>
      <c r="GCZ12" s="248"/>
      <c r="GDA12" s="248"/>
      <c r="GDB12" s="248"/>
      <c r="GDC12" s="248"/>
      <c r="GDD12" s="248"/>
      <c r="GDE12" s="248"/>
      <c r="GDF12" s="248"/>
      <c r="GDG12" s="248"/>
      <c r="GDH12" s="248"/>
      <c r="GDI12" s="248"/>
      <c r="GDJ12" s="248"/>
      <c r="GDK12" s="248"/>
      <c r="GDL12" s="248"/>
      <c r="GDM12" s="248"/>
      <c r="GDN12" s="248"/>
      <c r="GDO12" s="248"/>
      <c r="GDP12" s="248"/>
      <c r="GDQ12" s="248"/>
      <c r="GDR12" s="248"/>
      <c r="GDS12" s="248"/>
      <c r="GDT12" s="248"/>
      <c r="GDU12" s="248"/>
      <c r="GDV12" s="248"/>
      <c r="GDW12" s="248"/>
      <c r="GDX12" s="248"/>
      <c r="GDY12" s="248"/>
      <c r="GDZ12" s="248"/>
      <c r="GEA12" s="248"/>
      <c r="GEB12" s="248"/>
      <c r="GEC12" s="248"/>
      <c r="GED12" s="248"/>
      <c r="GEE12" s="248"/>
      <c r="GEF12" s="248"/>
      <c r="GEG12" s="248"/>
      <c r="GEH12" s="248"/>
      <c r="GEI12" s="248"/>
      <c r="GEJ12" s="248"/>
      <c r="GEK12" s="248"/>
      <c r="GEL12" s="248"/>
      <c r="GEM12" s="248"/>
      <c r="GEN12" s="248"/>
      <c r="GEO12" s="248"/>
      <c r="GEP12" s="248"/>
      <c r="GEQ12" s="248"/>
      <c r="GER12" s="248"/>
      <c r="GES12" s="248"/>
      <c r="GET12" s="248"/>
      <c r="GEU12" s="248"/>
      <c r="GEV12" s="248"/>
      <c r="GEW12" s="248"/>
      <c r="GEX12" s="248"/>
      <c r="GEY12" s="248"/>
      <c r="GEZ12" s="248"/>
      <c r="GFA12" s="248"/>
      <c r="GFB12" s="248"/>
      <c r="GFC12" s="248"/>
      <c r="GFD12" s="248"/>
      <c r="GFE12" s="248"/>
      <c r="GFF12" s="248"/>
      <c r="GFG12" s="248"/>
      <c r="GFH12" s="248"/>
      <c r="GFI12" s="248"/>
      <c r="GFJ12" s="248"/>
      <c r="GFK12" s="248"/>
      <c r="GFL12" s="248"/>
      <c r="GFM12" s="248"/>
      <c r="GFN12" s="248"/>
      <c r="GFO12" s="248"/>
      <c r="GFP12" s="248"/>
      <c r="GFQ12" s="248"/>
      <c r="GFR12" s="248"/>
      <c r="GFS12" s="248"/>
      <c r="GFT12" s="248"/>
      <c r="GFU12" s="248"/>
      <c r="GFV12" s="248"/>
      <c r="GFW12" s="248"/>
      <c r="GFX12" s="248"/>
      <c r="GFY12" s="248"/>
      <c r="GFZ12" s="248"/>
      <c r="GGA12" s="248"/>
      <c r="GGB12" s="248"/>
      <c r="GGC12" s="248"/>
      <c r="GGD12" s="248"/>
      <c r="GGE12" s="248"/>
      <c r="GGF12" s="248"/>
      <c r="GGG12" s="248"/>
      <c r="GGH12" s="248"/>
      <c r="GGI12" s="248"/>
      <c r="GGJ12" s="248"/>
      <c r="GGK12" s="248"/>
      <c r="GGL12" s="248"/>
      <c r="GGM12" s="248"/>
      <c r="GGN12" s="248"/>
      <c r="GGO12" s="248"/>
      <c r="GGP12" s="248"/>
      <c r="GGQ12" s="248"/>
      <c r="GGR12" s="248"/>
      <c r="GGS12" s="248"/>
      <c r="GGT12" s="248"/>
      <c r="GGU12" s="248"/>
      <c r="GGV12" s="248"/>
      <c r="GGW12" s="248"/>
      <c r="GGX12" s="248"/>
      <c r="GGY12" s="248"/>
      <c r="GGZ12" s="248"/>
      <c r="GHA12" s="248"/>
      <c r="GHB12" s="248"/>
      <c r="GHC12" s="248"/>
      <c r="GHD12" s="248"/>
      <c r="GHE12" s="248"/>
      <c r="GHF12" s="248"/>
      <c r="GHG12" s="248"/>
      <c r="GHH12" s="248"/>
      <c r="GHI12" s="248"/>
      <c r="GHJ12" s="248"/>
      <c r="GHK12" s="248"/>
      <c r="GHL12" s="248"/>
      <c r="GHM12" s="248"/>
      <c r="GHN12" s="248"/>
      <c r="GHO12" s="248"/>
      <c r="GHP12" s="248"/>
      <c r="GHQ12" s="248"/>
      <c r="GHR12" s="248"/>
      <c r="GHS12" s="248"/>
      <c r="GHT12" s="248"/>
      <c r="GHU12" s="248"/>
      <c r="GHV12" s="248"/>
      <c r="GHW12" s="248"/>
      <c r="GHX12" s="248"/>
      <c r="GHY12" s="248"/>
      <c r="GHZ12" s="248"/>
      <c r="GIA12" s="248"/>
      <c r="GIB12" s="248"/>
      <c r="GIC12" s="248"/>
      <c r="GID12" s="248"/>
      <c r="GIE12" s="248"/>
      <c r="GIF12" s="248"/>
      <c r="GIG12" s="248"/>
      <c r="GIH12" s="248"/>
      <c r="GII12" s="248"/>
      <c r="GIJ12" s="248"/>
      <c r="GIK12" s="248"/>
      <c r="GIL12" s="248"/>
      <c r="GIM12" s="248"/>
      <c r="GIN12" s="248"/>
      <c r="GIO12" s="248"/>
      <c r="GIP12" s="248"/>
      <c r="GIQ12" s="248"/>
      <c r="GIR12" s="248"/>
      <c r="GIS12" s="248"/>
      <c r="GIT12" s="248"/>
      <c r="GIU12" s="248"/>
      <c r="GIV12" s="248"/>
      <c r="GIW12" s="248"/>
      <c r="GIX12" s="248"/>
      <c r="GIY12" s="248"/>
      <c r="GIZ12" s="248"/>
      <c r="GJA12" s="248"/>
      <c r="GJB12" s="248"/>
      <c r="GJC12" s="248"/>
      <c r="GJD12" s="248"/>
      <c r="GJE12" s="248"/>
      <c r="GJF12" s="248"/>
      <c r="GJG12" s="248"/>
      <c r="GJH12" s="248"/>
      <c r="GJI12" s="248"/>
      <c r="GJJ12" s="248"/>
      <c r="GJK12" s="248"/>
      <c r="GJL12" s="248"/>
      <c r="GJM12" s="248"/>
      <c r="GJN12" s="248"/>
      <c r="GJO12" s="248"/>
      <c r="GJP12" s="248"/>
      <c r="GJQ12" s="248"/>
      <c r="GJR12" s="248"/>
      <c r="GJS12" s="248"/>
      <c r="GJT12" s="248"/>
      <c r="GJU12" s="248"/>
      <c r="GJV12" s="248"/>
      <c r="GJW12" s="248"/>
      <c r="GJX12" s="248"/>
      <c r="GJY12" s="248"/>
      <c r="GJZ12" s="248"/>
      <c r="GKA12" s="248"/>
      <c r="GKB12" s="248"/>
      <c r="GKC12" s="248"/>
      <c r="GKD12" s="248"/>
      <c r="GKE12" s="248"/>
      <c r="GKF12" s="248"/>
      <c r="GKG12" s="248"/>
      <c r="GKH12" s="248"/>
      <c r="GKI12" s="248"/>
      <c r="GKJ12" s="248"/>
      <c r="GKK12" s="248"/>
      <c r="GKL12" s="248"/>
      <c r="GKM12" s="248"/>
      <c r="GKN12" s="248"/>
      <c r="GKO12" s="248"/>
      <c r="GKP12" s="248"/>
      <c r="GKQ12" s="248"/>
      <c r="GKR12" s="248"/>
      <c r="GKS12" s="248"/>
      <c r="GKT12" s="248"/>
      <c r="GKU12" s="248"/>
      <c r="GKV12" s="248"/>
      <c r="GKW12" s="248"/>
      <c r="GKX12" s="248"/>
      <c r="GKY12" s="248"/>
      <c r="GKZ12" s="248"/>
      <c r="GLA12" s="248"/>
      <c r="GLB12" s="248"/>
      <c r="GLC12" s="248"/>
      <c r="GLD12" s="248"/>
      <c r="GLE12" s="248"/>
      <c r="GLF12" s="248"/>
      <c r="GLG12" s="248"/>
      <c r="GLH12" s="248"/>
      <c r="GLI12" s="248"/>
      <c r="GLJ12" s="248"/>
      <c r="GLK12" s="248"/>
      <c r="GLL12" s="248"/>
      <c r="GLM12" s="248"/>
      <c r="GLN12" s="248"/>
      <c r="GLO12" s="248"/>
      <c r="GLP12" s="248"/>
      <c r="GLQ12" s="248"/>
      <c r="GLR12" s="248"/>
      <c r="GLS12" s="248"/>
      <c r="GLT12" s="248"/>
      <c r="GLU12" s="248"/>
      <c r="GLV12" s="248"/>
      <c r="GLW12" s="248"/>
      <c r="GLX12" s="248"/>
      <c r="GLY12" s="248"/>
      <c r="GLZ12" s="248"/>
      <c r="GMA12" s="248"/>
      <c r="GMB12" s="248"/>
      <c r="GMC12" s="248"/>
      <c r="GMD12" s="248"/>
      <c r="GME12" s="248"/>
      <c r="GMF12" s="248"/>
      <c r="GMG12" s="248"/>
      <c r="GMH12" s="248"/>
      <c r="GMI12" s="248"/>
      <c r="GMJ12" s="248"/>
      <c r="GMK12" s="248"/>
      <c r="GML12" s="248"/>
      <c r="GMM12" s="248"/>
      <c r="GMN12" s="248"/>
      <c r="GMO12" s="248"/>
      <c r="GMP12" s="248"/>
      <c r="GMQ12" s="248"/>
      <c r="GMR12" s="248"/>
      <c r="GMS12" s="248"/>
      <c r="GMT12" s="248"/>
      <c r="GMU12" s="248"/>
      <c r="GMV12" s="248"/>
      <c r="GMW12" s="248"/>
      <c r="GMX12" s="248"/>
      <c r="GMY12" s="248"/>
      <c r="GMZ12" s="248"/>
      <c r="GNA12" s="248"/>
      <c r="GNB12" s="248"/>
      <c r="GNC12" s="248"/>
      <c r="GND12" s="248"/>
      <c r="GNE12" s="248"/>
      <c r="GNF12" s="248"/>
      <c r="GNG12" s="248"/>
      <c r="GNH12" s="248"/>
      <c r="GNI12" s="248"/>
      <c r="GNJ12" s="248"/>
      <c r="GNK12" s="248"/>
      <c r="GNL12" s="248"/>
      <c r="GNM12" s="248"/>
      <c r="GNN12" s="248"/>
      <c r="GNO12" s="248"/>
      <c r="GNP12" s="248"/>
      <c r="GNQ12" s="248"/>
      <c r="GNR12" s="248"/>
      <c r="GNS12" s="248"/>
      <c r="GNT12" s="248"/>
      <c r="GNU12" s="248"/>
      <c r="GNV12" s="248"/>
      <c r="GNW12" s="248"/>
      <c r="GNX12" s="248"/>
      <c r="GNY12" s="248"/>
      <c r="GNZ12" s="248"/>
      <c r="GOA12" s="248"/>
      <c r="GOB12" s="248"/>
      <c r="GOC12" s="248"/>
      <c r="GOD12" s="248"/>
      <c r="GOE12" s="248"/>
      <c r="GOF12" s="248"/>
      <c r="GOG12" s="248"/>
      <c r="GOH12" s="248"/>
      <c r="GOI12" s="248"/>
      <c r="GOJ12" s="248"/>
      <c r="GOK12" s="248"/>
      <c r="GOL12" s="248"/>
      <c r="GOM12" s="248"/>
      <c r="GON12" s="248"/>
      <c r="GOO12" s="248"/>
      <c r="GOP12" s="248"/>
      <c r="GOQ12" s="248"/>
      <c r="GOR12" s="248"/>
      <c r="GOS12" s="248"/>
      <c r="GOT12" s="248"/>
      <c r="GOU12" s="248"/>
      <c r="GOV12" s="248"/>
      <c r="GOW12" s="248"/>
      <c r="GOX12" s="248"/>
      <c r="GOY12" s="248"/>
      <c r="GOZ12" s="248"/>
      <c r="GPA12" s="248"/>
      <c r="GPB12" s="248"/>
      <c r="GPC12" s="248"/>
      <c r="GPD12" s="248"/>
      <c r="GPE12" s="248"/>
      <c r="GPF12" s="248"/>
      <c r="GPG12" s="248"/>
      <c r="GPH12" s="248"/>
      <c r="GPI12" s="248"/>
      <c r="GPJ12" s="248"/>
      <c r="GPK12" s="248"/>
      <c r="GPL12" s="248"/>
      <c r="GPM12" s="248"/>
      <c r="GPN12" s="248"/>
      <c r="GPO12" s="248"/>
      <c r="GPP12" s="248"/>
      <c r="GPQ12" s="248"/>
      <c r="GPR12" s="248"/>
      <c r="GPS12" s="248"/>
      <c r="GPT12" s="248"/>
      <c r="GPU12" s="248"/>
      <c r="GPV12" s="248"/>
      <c r="GPW12" s="248"/>
      <c r="GPX12" s="248"/>
      <c r="GPY12" s="248"/>
      <c r="GPZ12" s="248"/>
      <c r="GQA12" s="248"/>
      <c r="GQB12" s="248"/>
      <c r="GQC12" s="248"/>
      <c r="GQD12" s="248"/>
      <c r="GQE12" s="248"/>
      <c r="GQF12" s="248"/>
      <c r="GQG12" s="248"/>
      <c r="GQH12" s="248"/>
      <c r="GQI12" s="248"/>
      <c r="GQJ12" s="248"/>
      <c r="GQK12" s="248"/>
      <c r="GQL12" s="248"/>
      <c r="GQM12" s="248"/>
      <c r="GQN12" s="248"/>
      <c r="GQO12" s="248"/>
      <c r="GQP12" s="248"/>
      <c r="GQQ12" s="248"/>
      <c r="GQR12" s="248"/>
      <c r="GQS12" s="248"/>
      <c r="GQT12" s="248"/>
      <c r="GQU12" s="248"/>
      <c r="GQV12" s="248"/>
      <c r="GQW12" s="248"/>
      <c r="GQX12" s="248"/>
      <c r="GQY12" s="248"/>
      <c r="GQZ12" s="248"/>
      <c r="GRA12" s="248"/>
      <c r="GRB12" s="248"/>
      <c r="GRC12" s="248"/>
      <c r="GRD12" s="248"/>
      <c r="GRE12" s="248"/>
      <c r="GRF12" s="248"/>
      <c r="GRG12" s="248"/>
      <c r="GRH12" s="248"/>
      <c r="GRI12" s="248"/>
      <c r="GRJ12" s="248"/>
      <c r="GRK12" s="248"/>
      <c r="GRL12" s="248"/>
      <c r="GRM12" s="248"/>
      <c r="GRN12" s="248"/>
      <c r="GRO12" s="248"/>
      <c r="GRP12" s="248"/>
      <c r="GRQ12" s="248"/>
      <c r="GRR12" s="248"/>
      <c r="GRS12" s="248"/>
      <c r="GRT12" s="248"/>
      <c r="GRU12" s="248"/>
      <c r="GRV12" s="248"/>
      <c r="GRW12" s="248"/>
      <c r="GRX12" s="248"/>
      <c r="GRY12" s="248"/>
      <c r="GRZ12" s="248"/>
      <c r="GSA12" s="248"/>
      <c r="GSB12" s="248"/>
      <c r="GSC12" s="248"/>
      <c r="GSD12" s="248"/>
      <c r="GSE12" s="248"/>
      <c r="GSF12" s="248"/>
      <c r="GSG12" s="248"/>
      <c r="GSH12" s="248"/>
      <c r="GSI12" s="248"/>
      <c r="GSJ12" s="248"/>
      <c r="GSK12" s="248"/>
      <c r="GSL12" s="248"/>
      <c r="GSM12" s="248"/>
      <c r="GSN12" s="248"/>
      <c r="GSO12" s="248"/>
      <c r="GSP12" s="248"/>
      <c r="GSQ12" s="248"/>
      <c r="GSR12" s="248"/>
      <c r="GSS12" s="248"/>
      <c r="GST12" s="248"/>
      <c r="GSU12" s="248"/>
      <c r="GSV12" s="248"/>
      <c r="GSW12" s="248"/>
      <c r="GSX12" s="248"/>
      <c r="GSY12" s="248"/>
      <c r="GSZ12" s="248"/>
      <c r="GTA12" s="248"/>
      <c r="GTB12" s="248"/>
      <c r="GTC12" s="248"/>
      <c r="GTD12" s="248"/>
      <c r="GTE12" s="248"/>
      <c r="GTF12" s="248"/>
      <c r="GTG12" s="248"/>
      <c r="GTH12" s="248"/>
      <c r="GTI12" s="248"/>
      <c r="GTJ12" s="248"/>
      <c r="GTK12" s="248"/>
      <c r="GTL12" s="248"/>
      <c r="GTM12" s="248"/>
      <c r="GTN12" s="248"/>
      <c r="GTO12" s="248"/>
      <c r="GTP12" s="248"/>
      <c r="GTQ12" s="248"/>
      <c r="GTR12" s="248"/>
      <c r="GTS12" s="248"/>
      <c r="GTT12" s="248"/>
      <c r="GTU12" s="248"/>
      <c r="GTV12" s="248"/>
      <c r="GTW12" s="248"/>
      <c r="GTX12" s="248"/>
      <c r="GTY12" s="248"/>
      <c r="GTZ12" s="248"/>
      <c r="GUA12" s="248"/>
      <c r="GUB12" s="248"/>
      <c r="GUC12" s="248"/>
      <c r="GUD12" s="248"/>
      <c r="GUE12" s="248"/>
      <c r="GUF12" s="248"/>
      <c r="GUG12" s="248"/>
      <c r="GUH12" s="248"/>
      <c r="GUI12" s="248"/>
      <c r="GUJ12" s="248"/>
      <c r="GUK12" s="248"/>
      <c r="GUL12" s="248"/>
      <c r="GUM12" s="248"/>
      <c r="GUN12" s="248"/>
      <c r="GUO12" s="248"/>
      <c r="GUP12" s="248"/>
      <c r="GUQ12" s="248"/>
      <c r="GUR12" s="248"/>
      <c r="GUS12" s="248"/>
      <c r="GUT12" s="248"/>
      <c r="GUU12" s="248"/>
      <c r="GUV12" s="248"/>
      <c r="GUW12" s="248"/>
      <c r="GUX12" s="248"/>
      <c r="GUY12" s="248"/>
      <c r="GUZ12" s="248"/>
      <c r="GVA12" s="248"/>
      <c r="GVB12" s="248"/>
      <c r="GVC12" s="248"/>
      <c r="GVD12" s="248"/>
      <c r="GVE12" s="248"/>
      <c r="GVF12" s="248"/>
      <c r="GVG12" s="248"/>
      <c r="GVH12" s="248"/>
      <c r="GVI12" s="248"/>
      <c r="GVJ12" s="248"/>
      <c r="GVK12" s="248"/>
      <c r="GVL12" s="248"/>
      <c r="GVM12" s="248"/>
      <c r="GVN12" s="248"/>
      <c r="GVO12" s="248"/>
      <c r="GVP12" s="248"/>
      <c r="GVQ12" s="248"/>
      <c r="GVR12" s="248"/>
      <c r="GVS12" s="248"/>
      <c r="GVT12" s="248"/>
      <c r="GVU12" s="248"/>
      <c r="GVV12" s="248"/>
      <c r="GVW12" s="248"/>
      <c r="GVX12" s="248"/>
      <c r="GVY12" s="248"/>
      <c r="GVZ12" s="248"/>
      <c r="GWA12" s="248"/>
      <c r="GWB12" s="248"/>
      <c r="GWC12" s="248"/>
      <c r="GWD12" s="248"/>
      <c r="GWE12" s="248"/>
      <c r="GWF12" s="248"/>
      <c r="GWG12" s="248"/>
      <c r="GWH12" s="248"/>
      <c r="GWI12" s="248"/>
      <c r="GWJ12" s="248"/>
      <c r="GWK12" s="248"/>
      <c r="GWL12" s="248"/>
      <c r="GWM12" s="248"/>
      <c r="GWN12" s="248"/>
      <c r="GWO12" s="248"/>
      <c r="GWP12" s="248"/>
      <c r="GWQ12" s="248"/>
      <c r="GWR12" s="248"/>
      <c r="GWS12" s="248"/>
      <c r="GWT12" s="248"/>
      <c r="GWU12" s="248"/>
      <c r="GWV12" s="248"/>
      <c r="GWW12" s="248"/>
      <c r="GWX12" s="248"/>
      <c r="GWY12" s="248"/>
      <c r="GWZ12" s="248"/>
      <c r="GXA12" s="248"/>
      <c r="GXB12" s="248"/>
      <c r="GXC12" s="248"/>
      <c r="GXD12" s="248"/>
      <c r="GXE12" s="248"/>
      <c r="GXF12" s="248"/>
      <c r="GXG12" s="248"/>
      <c r="GXH12" s="248"/>
      <c r="GXI12" s="248"/>
      <c r="GXJ12" s="248"/>
      <c r="GXK12" s="248"/>
      <c r="GXL12" s="248"/>
      <c r="GXM12" s="248"/>
      <c r="GXN12" s="248"/>
      <c r="GXO12" s="248"/>
      <c r="GXP12" s="248"/>
      <c r="GXQ12" s="248"/>
      <c r="GXR12" s="248"/>
      <c r="GXS12" s="248"/>
      <c r="GXT12" s="248"/>
      <c r="GXU12" s="248"/>
      <c r="GXV12" s="248"/>
      <c r="GXW12" s="248"/>
      <c r="GXX12" s="248"/>
      <c r="GXY12" s="248"/>
      <c r="GXZ12" s="248"/>
      <c r="GYA12" s="248"/>
      <c r="GYB12" s="248"/>
      <c r="GYC12" s="248"/>
      <c r="GYD12" s="248"/>
      <c r="GYE12" s="248"/>
      <c r="GYF12" s="248"/>
      <c r="GYG12" s="248"/>
      <c r="GYH12" s="248"/>
      <c r="GYI12" s="248"/>
      <c r="GYJ12" s="248"/>
      <c r="GYK12" s="248"/>
      <c r="GYL12" s="248"/>
      <c r="GYM12" s="248"/>
      <c r="GYN12" s="248"/>
      <c r="GYO12" s="248"/>
      <c r="GYP12" s="248"/>
      <c r="GYQ12" s="248"/>
      <c r="GYR12" s="248"/>
      <c r="GYS12" s="248"/>
      <c r="GYT12" s="248"/>
      <c r="GYU12" s="248"/>
      <c r="GYV12" s="248"/>
      <c r="GYW12" s="248"/>
      <c r="GYX12" s="248"/>
      <c r="GYY12" s="248"/>
      <c r="GYZ12" s="248"/>
      <c r="GZA12" s="248"/>
      <c r="GZB12" s="248"/>
      <c r="GZC12" s="248"/>
      <c r="GZD12" s="248"/>
      <c r="GZE12" s="248"/>
      <c r="GZF12" s="248"/>
      <c r="GZG12" s="248"/>
      <c r="GZH12" s="248"/>
      <c r="GZI12" s="248"/>
      <c r="GZJ12" s="248"/>
      <c r="GZK12" s="248"/>
      <c r="GZL12" s="248"/>
      <c r="GZM12" s="248"/>
      <c r="GZN12" s="248"/>
      <c r="GZO12" s="248"/>
      <c r="GZP12" s="248"/>
      <c r="GZQ12" s="248"/>
      <c r="GZR12" s="248"/>
      <c r="GZS12" s="248"/>
      <c r="GZT12" s="248"/>
      <c r="GZU12" s="248"/>
      <c r="GZV12" s="248"/>
      <c r="GZW12" s="248"/>
      <c r="GZX12" s="248"/>
      <c r="GZY12" s="248"/>
      <c r="GZZ12" s="248"/>
      <c r="HAA12" s="248"/>
      <c r="HAB12" s="248"/>
      <c r="HAC12" s="248"/>
      <c r="HAD12" s="248"/>
      <c r="HAE12" s="248"/>
      <c r="HAF12" s="248"/>
      <c r="HAG12" s="248"/>
      <c r="HAH12" s="248"/>
      <c r="HAI12" s="248"/>
      <c r="HAJ12" s="248"/>
      <c r="HAK12" s="248"/>
      <c r="HAL12" s="248"/>
      <c r="HAM12" s="248"/>
      <c r="HAN12" s="248"/>
      <c r="HAO12" s="248"/>
      <c r="HAP12" s="248"/>
      <c r="HAQ12" s="248"/>
      <c r="HAR12" s="248"/>
      <c r="HAS12" s="248"/>
      <c r="HAT12" s="248"/>
      <c r="HAU12" s="248"/>
      <c r="HAV12" s="248"/>
      <c r="HAW12" s="248"/>
      <c r="HAX12" s="248"/>
      <c r="HAY12" s="248"/>
      <c r="HAZ12" s="248"/>
      <c r="HBA12" s="248"/>
      <c r="HBB12" s="248"/>
      <c r="HBC12" s="248"/>
      <c r="HBD12" s="248"/>
      <c r="HBE12" s="248"/>
      <c r="HBF12" s="248"/>
      <c r="HBG12" s="248"/>
      <c r="HBH12" s="248"/>
      <c r="HBI12" s="248"/>
      <c r="HBJ12" s="248"/>
      <c r="HBK12" s="248"/>
      <c r="HBL12" s="248"/>
      <c r="HBM12" s="248"/>
      <c r="HBN12" s="248"/>
      <c r="HBO12" s="248"/>
      <c r="HBP12" s="248"/>
      <c r="HBQ12" s="248"/>
      <c r="HBR12" s="248"/>
      <c r="HBS12" s="248"/>
      <c r="HBT12" s="248"/>
      <c r="HBU12" s="248"/>
      <c r="HBV12" s="248"/>
      <c r="HBW12" s="248"/>
      <c r="HBX12" s="248"/>
      <c r="HBY12" s="248"/>
      <c r="HBZ12" s="248"/>
      <c r="HCA12" s="248"/>
      <c r="HCB12" s="248"/>
      <c r="HCC12" s="248"/>
      <c r="HCD12" s="248"/>
      <c r="HCE12" s="248"/>
      <c r="HCF12" s="248"/>
      <c r="HCG12" s="248"/>
      <c r="HCH12" s="248"/>
      <c r="HCI12" s="248"/>
      <c r="HCJ12" s="248"/>
      <c r="HCK12" s="248"/>
      <c r="HCL12" s="248"/>
      <c r="HCM12" s="248"/>
      <c r="HCN12" s="248"/>
      <c r="HCO12" s="248"/>
      <c r="HCP12" s="248"/>
      <c r="HCQ12" s="248"/>
      <c r="HCR12" s="248"/>
      <c r="HCS12" s="248"/>
      <c r="HCT12" s="248"/>
      <c r="HCU12" s="248"/>
      <c r="HCV12" s="248"/>
      <c r="HCW12" s="248"/>
      <c r="HCX12" s="248"/>
      <c r="HCY12" s="248"/>
      <c r="HCZ12" s="248"/>
      <c r="HDA12" s="248"/>
      <c r="HDB12" s="248"/>
      <c r="HDC12" s="248"/>
      <c r="HDD12" s="248"/>
      <c r="HDE12" s="248"/>
      <c r="HDF12" s="248"/>
      <c r="HDG12" s="248"/>
      <c r="HDH12" s="248"/>
      <c r="HDI12" s="248"/>
      <c r="HDJ12" s="248"/>
      <c r="HDK12" s="248"/>
      <c r="HDL12" s="248"/>
      <c r="HDM12" s="248"/>
      <c r="HDN12" s="248"/>
      <c r="HDO12" s="248"/>
      <c r="HDP12" s="248"/>
      <c r="HDQ12" s="248"/>
      <c r="HDR12" s="248"/>
      <c r="HDS12" s="248"/>
      <c r="HDT12" s="248"/>
      <c r="HDU12" s="248"/>
      <c r="HDV12" s="248"/>
      <c r="HDW12" s="248"/>
      <c r="HDX12" s="248"/>
      <c r="HDY12" s="248"/>
      <c r="HDZ12" s="248"/>
      <c r="HEA12" s="248"/>
      <c r="HEB12" s="248"/>
      <c r="HEC12" s="248"/>
      <c r="HED12" s="248"/>
      <c r="HEE12" s="248"/>
      <c r="HEF12" s="248"/>
      <c r="HEG12" s="248"/>
      <c r="HEH12" s="248"/>
      <c r="HEI12" s="248"/>
      <c r="HEJ12" s="248"/>
      <c r="HEK12" s="248"/>
      <c r="HEL12" s="248"/>
      <c r="HEM12" s="248"/>
      <c r="HEN12" s="248"/>
      <c r="HEO12" s="248"/>
      <c r="HEP12" s="248"/>
      <c r="HEQ12" s="248"/>
      <c r="HER12" s="248"/>
      <c r="HES12" s="248"/>
      <c r="HET12" s="248"/>
      <c r="HEU12" s="248"/>
      <c r="HEV12" s="248"/>
      <c r="HEW12" s="248"/>
      <c r="HEX12" s="248"/>
      <c r="HEY12" s="248"/>
      <c r="HEZ12" s="248"/>
      <c r="HFA12" s="248"/>
      <c r="HFB12" s="248"/>
      <c r="HFC12" s="248"/>
      <c r="HFD12" s="248"/>
      <c r="HFE12" s="248"/>
      <c r="HFF12" s="248"/>
      <c r="HFG12" s="248"/>
      <c r="HFH12" s="248"/>
      <c r="HFI12" s="248"/>
      <c r="HFJ12" s="248"/>
      <c r="HFK12" s="248"/>
      <c r="HFL12" s="248"/>
      <c r="HFM12" s="248"/>
      <c r="HFN12" s="248"/>
      <c r="HFO12" s="248"/>
      <c r="HFP12" s="248"/>
      <c r="HFQ12" s="248"/>
      <c r="HFR12" s="248"/>
      <c r="HFS12" s="248"/>
      <c r="HFT12" s="248"/>
      <c r="HFU12" s="248"/>
      <c r="HFV12" s="248"/>
      <c r="HFW12" s="248"/>
      <c r="HFX12" s="248"/>
      <c r="HFY12" s="248"/>
      <c r="HFZ12" s="248"/>
      <c r="HGA12" s="248"/>
      <c r="HGB12" s="248"/>
      <c r="HGC12" s="248"/>
      <c r="HGD12" s="248"/>
      <c r="HGE12" s="248"/>
      <c r="HGF12" s="248"/>
      <c r="HGG12" s="248"/>
      <c r="HGH12" s="248"/>
      <c r="HGI12" s="248"/>
      <c r="HGJ12" s="248"/>
      <c r="HGK12" s="248"/>
      <c r="HGL12" s="248"/>
      <c r="HGM12" s="248"/>
      <c r="HGN12" s="248"/>
      <c r="HGO12" s="248"/>
      <c r="HGP12" s="248"/>
      <c r="HGQ12" s="248"/>
      <c r="HGR12" s="248"/>
      <c r="HGS12" s="248"/>
      <c r="HGT12" s="248"/>
      <c r="HGU12" s="248"/>
      <c r="HGV12" s="248"/>
      <c r="HGW12" s="248"/>
      <c r="HGX12" s="248"/>
      <c r="HGY12" s="248"/>
      <c r="HGZ12" s="248"/>
      <c r="HHA12" s="248"/>
      <c r="HHB12" s="248"/>
      <c r="HHC12" s="248"/>
      <c r="HHD12" s="248"/>
      <c r="HHE12" s="248"/>
      <c r="HHF12" s="248"/>
      <c r="HHG12" s="248"/>
      <c r="HHH12" s="248"/>
      <c r="HHI12" s="248"/>
      <c r="HHJ12" s="248"/>
      <c r="HHK12" s="248"/>
      <c r="HHL12" s="248"/>
      <c r="HHM12" s="248"/>
      <c r="HHN12" s="248"/>
      <c r="HHO12" s="248"/>
      <c r="HHP12" s="248"/>
      <c r="HHQ12" s="248"/>
      <c r="HHR12" s="248"/>
      <c r="HHS12" s="248"/>
      <c r="HHT12" s="248"/>
      <c r="HHU12" s="248"/>
      <c r="HHV12" s="248"/>
      <c r="HHW12" s="248"/>
      <c r="HHX12" s="248"/>
      <c r="HHY12" s="248"/>
      <c r="HHZ12" s="248"/>
      <c r="HIA12" s="248"/>
      <c r="HIB12" s="248"/>
      <c r="HIC12" s="248"/>
      <c r="HID12" s="248"/>
      <c r="HIE12" s="248"/>
      <c r="HIF12" s="248"/>
      <c r="HIG12" s="248"/>
      <c r="HIH12" s="248"/>
      <c r="HII12" s="248"/>
      <c r="HIJ12" s="248"/>
      <c r="HIK12" s="248"/>
      <c r="HIL12" s="248"/>
      <c r="HIM12" s="248"/>
      <c r="HIN12" s="248"/>
      <c r="HIO12" s="248"/>
      <c r="HIP12" s="248"/>
      <c r="HIQ12" s="248"/>
      <c r="HIR12" s="248"/>
      <c r="HIS12" s="248"/>
      <c r="HIT12" s="248"/>
      <c r="HIU12" s="248"/>
      <c r="HIV12" s="248"/>
      <c r="HIW12" s="248"/>
      <c r="HIX12" s="248"/>
      <c r="HIY12" s="248"/>
      <c r="HIZ12" s="248"/>
      <c r="HJA12" s="248"/>
      <c r="HJB12" s="248"/>
      <c r="HJC12" s="248"/>
      <c r="HJD12" s="248"/>
      <c r="HJE12" s="248"/>
      <c r="HJF12" s="248"/>
      <c r="HJG12" s="248"/>
      <c r="HJH12" s="248"/>
      <c r="HJI12" s="248"/>
      <c r="HJJ12" s="248"/>
      <c r="HJK12" s="248"/>
      <c r="HJL12" s="248"/>
      <c r="HJM12" s="248"/>
      <c r="HJN12" s="248"/>
      <c r="HJO12" s="248"/>
      <c r="HJP12" s="248"/>
      <c r="HJQ12" s="248"/>
      <c r="HJR12" s="248"/>
      <c r="HJS12" s="248"/>
      <c r="HJT12" s="248"/>
      <c r="HJU12" s="248"/>
      <c r="HJV12" s="248"/>
      <c r="HJW12" s="248"/>
      <c r="HJX12" s="248"/>
      <c r="HJY12" s="248"/>
      <c r="HJZ12" s="248"/>
      <c r="HKA12" s="248"/>
      <c r="HKB12" s="248"/>
      <c r="HKC12" s="248"/>
      <c r="HKD12" s="248"/>
      <c r="HKE12" s="248"/>
      <c r="HKF12" s="248"/>
      <c r="HKG12" s="248"/>
      <c r="HKH12" s="248"/>
      <c r="HKI12" s="248"/>
      <c r="HKJ12" s="248"/>
      <c r="HKK12" s="248"/>
      <c r="HKL12" s="248"/>
      <c r="HKM12" s="248"/>
      <c r="HKN12" s="248"/>
      <c r="HKO12" s="248"/>
      <c r="HKP12" s="248"/>
      <c r="HKQ12" s="248"/>
      <c r="HKR12" s="248"/>
      <c r="HKS12" s="248"/>
      <c r="HKT12" s="248"/>
      <c r="HKU12" s="248"/>
      <c r="HKV12" s="248"/>
      <c r="HKW12" s="248"/>
      <c r="HKX12" s="248"/>
      <c r="HKY12" s="248"/>
      <c r="HKZ12" s="248"/>
      <c r="HLA12" s="248"/>
      <c r="HLB12" s="248"/>
      <c r="HLC12" s="248"/>
      <c r="HLD12" s="248"/>
      <c r="HLE12" s="248"/>
      <c r="HLF12" s="248"/>
      <c r="HLG12" s="248"/>
      <c r="HLH12" s="248"/>
      <c r="HLI12" s="248"/>
      <c r="HLJ12" s="248"/>
      <c r="HLK12" s="248"/>
      <c r="HLL12" s="248"/>
      <c r="HLM12" s="248"/>
      <c r="HLN12" s="248"/>
      <c r="HLO12" s="248"/>
      <c r="HLP12" s="248"/>
      <c r="HLQ12" s="248"/>
      <c r="HLR12" s="248"/>
      <c r="HLS12" s="248"/>
      <c r="HLT12" s="248"/>
      <c r="HLU12" s="248"/>
      <c r="HLV12" s="248"/>
      <c r="HLW12" s="248"/>
      <c r="HLX12" s="248"/>
      <c r="HLY12" s="248"/>
      <c r="HLZ12" s="248"/>
      <c r="HMA12" s="248"/>
      <c r="HMB12" s="248"/>
      <c r="HMC12" s="248"/>
      <c r="HMD12" s="248"/>
      <c r="HME12" s="248"/>
      <c r="HMF12" s="248"/>
      <c r="HMG12" s="248"/>
      <c r="HMH12" s="248"/>
      <c r="HMI12" s="248"/>
      <c r="HMJ12" s="248"/>
      <c r="HMK12" s="248"/>
      <c r="HML12" s="248"/>
      <c r="HMM12" s="248"/>
      <c r="HMN12" s="248"/>
      <c r="HMO12" s="248"/>
      <c r="HMP12" s="248"/>
      <c r="HMQ12" s="248"/>
      <c r="HMR12" s="248"/>
      <c r="HMS12" s="248"/>
      <c r="HMT12" s="248"/>
      <c r="HMU12" s="248"/>
      <c r="HMV12" s="248"/>
      <c r="HMW12" s="248"/>
      <c r="HMX12" s="248"/>
      <c r="HMY12" s="248"/>
      <c r="HMZ12" s="248"/>
      <c r="HNA12" s="248"/>
      <c r="HNB12" s="248"/>
      <c r="HNC12" s="248"/>
      <c r="HND12" s="248"/>
      <c r="HNE12" s="248"/>
      <c r="HNF12" s="248"/>
      <c r="HNG12" s="248"/>
      <c r="HNH12" s="248"/>
      <c r="HNI12" s="248"/>
      <c r="HNJ12" s="248"/>
      <c r="HNK12" s="248"/>
      <c r="HNL12" s="248"/>
      <c r="HNM12" s="248"/>
      <c r="HNN12" s="248"/>
      <c r="HNO12" s="248"/>
      <c r="HNP12" s="248"/>
      <c r="HNQ12" s="248"/>
      <c r="HNR12" s="248"/>
      <c r="HNS12" s="248"/>
      <c r="HNT12" s="248"/>
      <c r="HNU12" s="248"/>
      <c r="HNV12" s="248"/>
      <c r="HNW12" s="248"/>
      <c r="HNX12" s="248"/>
      <c r="HNY12" s="248"/>
      <c r="HNZ12" s="248"/>
      <c r="HOA12" s="248"/>
      <c r="HOB12" s="248"/>
      <c r="HOC12" s="248"/>
      <c r="HOD12" s="248"/>
      <c r="HOE12" s="248"/>
      <c r="HOF12" s="248"/>
      <c r="HOG12" s="248"/>
      <c r="HOH12" s="248"/>
      <c r="HOI12" s="248"/>
      <c r="HOJ12" s="248"/>
      <c r="HOK12" s="248"/>
      <c r="HOL12" s="248"/>
      <c r="HOM12" s="248"/>
      <c r="HON12" s="248"/>
      <c r="HOO12" s="248"/>
      <c r="HOP12" s="248"/>
      <c r="HOQ12" s="248"/>
      <c r="HOR12" s="248"/>
      <c r="HOS12" s="248"/>
      <c r="HOT12" s="248"/>
      <c r="HOU12" s="248"/>
      <c r="HOV12" s="248"/>
      <c r="HOW12" s="248"/>
      <c r="HOX12" s="248"/>
      <c r="HOY12" s="248"/>
      <c r="HOZ12" s="248"/>
      <c r="HPA12" s="248"/>
      <c r="HPB12" s="248"/>
      <c r="HPC12" s="248"/>
      <c r="HPD12" s="248"/>
      <c r="HPE12" s="248"/>
      <c r="HPF12" s="248"/>
      <c r="HPG12" s="248"/>
      <c r="HPH12" s="248"/>
      <c r="HPI12" s="248"/>
      <c r="HPJ12" s="248"/>
      <c r="HPK12" s="248"/>
      <c r="HPL12" s="248"/>
      <c r="HPM12" s="248"/>
      <c r="HPN12" s="248"/>
      <c r="HPO12" s="248"/>
      <c r="HPP12" s="248"/>
      <c r="HPQ12" s="248"/>
      <c r="HPR12" s="248"/>
      <c r="HPS12" s="248"/>
      <c r="HPT12" s="248"/>
      <c r="HPU12" s="248"/>
      <c r="HPV12" s="248"/>
      <c r="HPW12" s="248"/>
      <c r="HPX12" s="248"/>
      <c r="HPY12" s="248"/>
      <c r="HPZ12" s="248"/>
      <c r="HQA12" s="248"/>
      <c r="HQB12" s="248"/>
      <c r="HQC12" s="248"/>
      <c r="HQD12" s="248"/>
      <c r="HQE12" s="248"/>
      <c r="HQF12" s="248"/>
      <c r="HQG12" s="248"/>
      <c r="HQH12" s="248"/>
      <c r="HQI12" s="248"/>
      <c r="HQJ12" s="248"/>
      <c r="HQK12" s="248"/>
      <c r="HQL12" s="248"/>
      <c r="HQM12" s="248"/>
      <c r="HQN12" s="248"/>
      <c r="HQO12" s="248"/>
      <c r="HQP12" s="248"/>
      <c r="HQQ12" s="248"/>
      <c r="HQR12" s="248"/>
      <c r="HQS12" s="248"/>
      <c r="HQT12" s="248"/>
      <c r="HQU12" s="248"/>
      <c r="HQV12" s="248"/>
      <c r="HQW12" s="248"/>
      <c r="HQX12" s="248"/>
      <c r="HQY12" s="248"/>
      <c r="HQZ12" s="248"/>
      <c r="HRA12" s="248"/>
      <c r="HRB12" s="248"/>
      <c r="HRC12" s="248"/>
      <c r="HRD12" s="248"/>
      <c r="HRE12" s="248"/>
      <c r="HRF12" s="248"/>
      <c r="HRG12" s="248"/>
      <c r="HRH12" s="248"/>
      <c r="HRI12" s="248"/>
      <c r="HRJ12" s="248"/>
      <c r="HRK12" s="248"/>
      <c r="HRL12" s="248"/>
      <c r="HRM12" s="248"/>
      <c r="HRN12" s="248"/>
      <c r="HRO12" s="248"/>
      <c r="HRP12" s="248"/>
      <c r="HRQ12" s="248"/>
      <c r="HRR12" s="248"/>
      <c r="HRS12" s="248"/>
      <c r="HRT12" s="248"/>
      <c r="HRU12" s="248"/>
      <c r="HRV12" s="248"/>
      <c r="HRW12" s="248"/>
      <c r="HRX12" s="248"/>
      <c r="HRY12" s="248"/>
      <c r="HRZ12" s="248"/>
      <c r="HSA12" s="248"/>
      <c r="HSB12" s="248"/>
      <c r="HSC12" s="248"/>
      <c r="HSD12" s="248"/>
      <c r="HSE12" s="248"/>
      <c r="HSF12" s="248"/>
      <c r="HSG12" s="248"/>
      <c r="HSH12" s="248"/>
      <c r="HSI12" s="248"/>
      <c r="HSJ12" s="248"/>
      <c r="HSK12" s="248"/>
      <c r="HSL12" s="248"/>
      <c r="HSM12" s="248"/>
      <c r="HSN12" s="248"/>
      <c r="HSO12" s="248"/>
      <c r="HSP12" s="248"/>
      <c r="HSQ12" s="248"/>
      <c r="HSR12" s="248"/>
      <c r="HSS12" s="248"/>
      <c r="HST12" s="248"/>
      <c r="HSU12" s="248"/>
      <c r="HSV12" s="248"/>
      <c r="HSW12" s="248"/>
      <c r="HSX12" s="248"/>
      <c r="HSY12" s="248"/>
      <c r="HSZ12" s="248"/>
      <c r="HTA12" s="248"/>
      <c r="HTB12" s="248"/>
      <c r="HTC12" s="248"/>
      <c r="HTD12" s="248"/>
      <c r="HTE12" s="248"/>
      <c r="HTF12" s="248"/>
      <c r="HTG12" s="248"/>
      <c r="HTH12" s="248"/>
      <c r="HTI12" s="248"/>
      <c r="HTJ12" s="248"/>
      <c r="HTK12" s="248"/>
      <c r="HTL12" s="248"/>
      <c r="HTM12" s="248"/>
      <c r="HTN12" s="248"/>
      <c r="HTO12" s="248"/>
      <c r="HTP12" s="248"/>
      <c r="HTQ12" s="248"/>
      <c r="HTR12" s="248"/>
      <c r="HTS12" s="248"/>
      <c r="HTT12" s="248"/>
      <c r="HTU12" s="248"/>
      <c r="HTV12" s="248"/>
      <c r="HTW12" s="248"/>
      <c r="HTX12" s="248"/>
      <c r="HTY12" s="248"/>
      <c r="HTZ12" s="248"/>
      <c r="HUA12" s="248"/>
      <c r="HUB12" s="248"/>
      <c r="HUC12" s="248"/>
      <c r="HUD12" s="248"/>
      <c r="HUE12" s="248"/>
      <c r="HUF12" s="248"/>
      <c r="HUG12" s="248"/>
      <c r="HUH12" s="248"/>
      <c r="HUI12" s="248"/>
      <c r="HUJ12" s="248"/>
      <c r="HUK12" s="248"/>
      <c r="HUL12" s="248"/>
      <c r="HUM12" s="248"/>
      <c r="HUN12" s="248"/>
      <c r="HUO12" s="248"/>
      <c r="HUP12" s="248"/>
      <c r="HUQ12" s="248"/>
      <c r="HUR12" s="248"/>
      <c r="HUS12" s="248"/>
      <c r="HUT12" s="248"/>
      <c r="HUU12" s="248"/>
      <c r="HUV12" s="248"/>
      <c r="HUW12" s="248"/>
      <c r="HUX12" s="248"/>
      <c r="HUY12" s="248"/>
      <c r="HUZ12" s="248"/>
      <c r="HVA12" s="248"/>
      <c r="HVB12" s="248"/>
      <c r="HVC12" s="248"/>
      <c r="HVD12" s="248"/>
      <c r="HVE12" s="248"/>
      <c r="HVF12" s="248"/>
      <c r="HVG12" s="248"/>
      <c r="HVH12" s="248"/>
      <c r="HVI12" s="248"/>
      <c r="HVJ12" s="248"/>
      <c r="HVK12" s="248"/>
      <c r="HVL12" s="248"/>
      <c r="HVM12" s="248"/>
      <c r="HVN12" s="248"/>
      <c r="HVO12" s="248"/>
      <c r="HVP12" s="248"/>
      <c r="HVQ12" s="248"/>
      <c r="HVR12" s="248"/>
      <c r="HVS12" s="248"/>
      <c r="HVT12" s="248"/>
      <c r="HVU12" s="248"/>
      <c r="HVV12" s="248"/>
      <c r="HVW12" s="248"/>
      <c r="HVX12" s="248"/>
      <c r="HVY12" s="248"/>
      <c r="HVZ12" s="248"/>
      <c r="HWA12" s="248"/>
      <c r="HWB12" s="248"/>
      <c r="HWC12" s="248"/>
      <c r="HWD12" s="248"/>
      <c r="HWE12" s="248"/>
      <c r="HWF12" s="248"/>
      <c r="HWG12" s="248"/>
      <c r="HWH12" s="248"/>
      <c r="HWI12" s="248"/>
      <c r="HWJ12" s="248"/>
      <c r="HWK12" s="248"/>
      <c r="HWL12" s="248"/>
      <c r="HWM12" s="248"/>
      <c r="HWN12" s="248"/>
      <c r="HWO12" s="248"/>
      <c r="HWP12" s="248"/>
      <c r="HWQ12" s="248"/>
      <c r="HWR12" s="248"/>
      <c r="HWS12" s="248"/>
      <c r="HWT12" s="248"/>
      <c r="HWU12" s="248"/>
      <c r="HWV12" s="248"/>
      <c r="HWW12" s="248"/>
      <c r="HWX12" s="248"/>
      <c r="HWY12" s="248"/>
      <c r="HWZ12" s="248"/>
      <c r="HXA12" s="248"/>
      <c r="HXB12" s="248"/>
      <c r="HXC12" s="248"/>
      <c r="HXD12" s="248"/>
      <c r="HXE12" s="248"/>
      <c r="HXF12" s="248"/>
      <c r="HXG12" s="248"/>
      <c r="HXH12" s="248"/>
      <c r="HXI12" s="248"/>
      <c r="HXJ12" s="248"/>
      <c r="HXK12" s="248"/>
      <c r="HXL12" s="248"/>
      <c r="HXM12" s="248"/>
      <c r="HXN12" s="248"/>
      <c r="HXO12" s="248"/>
      <c r="HXP12" s="248"/>
      <c r="HXQ12" s="248"/>
      <c r="HXR12" s="248"/>
      <c r="HXS12" s="248"/>
      <c r="HXT12" s="248"/>
      <c r="HXU12" s="248"/>
      <c r="HXV12" s="248"/>
      <c r="HXW12" s="248"/>
      <c r="HXX12" s="248"/>
      <c r="HXY12" s="248"/>
      <c r="HXZ12" s="248"/>
      <c r="HYA12" s="248"/>
      <c r="HYB12" s="248"/>
      <c r="HYC12" s="248"/>
      <c r="HYD12" s="248"/>
      <c r="HYE12" s="248"/>
      <c r="HYF12" s="248"/>
      <c r="HYG12" s="248"/>
      <c r="HYH12" s="248"/>
      <c r="HYI12" s="248"/>
      <c r="HYJ12" s="248"/>
      <c r="HYK12" s="248"/>
      <c r="HYL12" s="248"/>
      <c r="HYM12" s="248"/>
      <c r="HYN12" s="248"/>
      <c r="HYO12" s="248"/>
      <c r="HYP12" s="248"/>
      <c r="HYQ12" s="248"/>
      <c r="HYR12" s="248"/>
      <c r="HYS12" s="248"/>
      <c r="HYT12" s="248"/>
      <c r="HYU12" s="248"/>
      <c r="HYV12" s="248"/>
      <c r="HYW12" s="248"/>
      <c r="HYX12" s="248"/>
      <c r="HYY12" s="248"/>
      <c r="HYZ12" s="248"/>
      <c r="HZA12" s="248"/>
      <c r="HZB12" s="248"/>
      <c r="HZC12" s="248"/>
      <c r="HZD12" s="248"/>
      <c r="HZE12" s="248"/>
      <c r="HZF12" s="248"/>
      <c r="HZG12" s="248"/>
      <c r="HZH12" s="248"/>
      <c r="HZI12" s="248"/>
      <c r="HZJ12" s="248"/>
      <c r="HZK12" s="248"/>
      <c r="HZL12" s="248"/>
      <c r="HZM12" s="248"/>
      <c r="HZN12" s="248"/>
      <c r="HZO12" s="248"/>
      <c r="HZP12" s="248"/>
      <c r="HZQ12" s="248"/>
      <c r="HZR12" s="248"/>
      <c r="HZS12" s="248"/>
      <c r="HZT12" s="248"/>
      <c r="HZU12" s="248"/>
      <c r="HZV12" s="248"/>
      <c r="HZW12" s="248"/>
      <c r="HZX12" s="248"/>
      <c r="HZY12" s="248"/>
      <c r="HZZ12" s="248"/>
      <c r="IAA12" s="248"/>
      <c r="IAB12" s="248"/>
      <c r="IAC12" s="248"/>
      <c r="IAD12" s="248"/>
      <c r="IAE12" s="248"/>
      <c r="IAF12" s="248"/>
      <c r="IAG12" s="248"/>
      <c r="IAH12" s="248"/>
      <c r="IAI12" s="248"/>
      <c r="IAJ12" s="248"/>
      <c r="IAK12" s="248"/>
      <c r="IAL12" s="248"/>
      <c r="IAM12" s="248"/>
      <c r="IAN12" s="248"/>
      <c r="IAO12" s="248"/>
      <c r="IAP12" s="248"/>
      <c r="IAQ12" s="248"/>
      <c r="IAR12" s="248"/>
      <c r="IAS12" s="248"/>
      <c r="IAT12" s="248"/>
      <c r="IAU12" s="248"/>
      <c r="IAV12" s="248"/>
      <c r="IAW12" s="248"/>
      <c r="IAX12" s="248"/>
      <c r="IAY12" s="248"/>
      <c r="IAZ12" s="248"/>
      <c r="IBA12" s="248"/>
      <c r="IBB12" s="248"/>
      <c r="IBC12" s="248"/>
      <c r="IBD12" s="248"/>
      <c r="IBE12" s="248"/>
      <c r="IBF12" s="248"/>
      <c r="IBG12" s="248"/>
      <c r="IBH12" s="248"/>
      <c r="IBI12" s="248"/>
      <c r="IBJ12" s="248"/>
      <c r="IBK12" s="248"/>
      <c r="IBL12" s="248"/>
      <c r="IBM12" s="248"/>
      <c r="IBN12" s="248"/>
      <c r="IBO12" s="248"/>
      <c r="IBP12" s="248"/>
      <c r="IBQ12" s="248"/>
      <c r="IBR12" s="248"/>
      <c r="IBS12" s="248"/>
      <c r="IBT12" s="248"/>
      <c r="IBU12" s="248"/>
      <c r="IBV12" s="248"/>
      <c r="IBW12" s="248"/>
      <c r="IBX12" s="248"/>
      <c r="IBY12" s="248"/>
      <c r="IBZ12" s="248"/>
      <c r="ICA12" s="248"/>
      <c r="ICB12" s="248"/>
      <c r="ICC12" s="248"/>
      <c r="ICD12" s="248"/>
      <c r="ICE12" s="248"/>
      <c r="ICF12" s="248"/>
      <c r="ICG12" s="248"/>
      <c r="ICH12" s="248"/>
      <c r="ICI12" s="248"/>
      <c r="ICJ12" s="248"/>
      <c r="ICK12" s="248"/>
      <c r="ICL12" s="248"/>
      <c r="ICM12" s="248"/>
      <c r="ICN12" s="248"/>
      <c r="ICO12" s="248"/>
      <c r="ICP12" s="248"/>
      <c r="ICQ12" s="248"/>
      <c r="ICR12" s="248"/>
      <c r="ICS12" s="248"/>
      <c r="ICT12" s="248"/>
      <c r="ICU12" s="248"/>
      <c r="ICV12" s="248"/>
      <c r="ICW12" s="248"/>
      <c r="ICX12" s="248"/>
      <c r="ICY12" s="248"/>
      <c r="ICZ12" s="248"/>
      <c r="IDA12" s="248"/>
      <c r="IDB12" s="248"/>
      <c r="IDC12" s="248"/>
      <c r="IDD12" s="248"/>
      <c r="IDE12" s="248"/>
      <c r="IDF12" s="248"/>
      <c r="IDG12" s="248"/>
      <c r="IDH12" s="248"/>
      <c r="IDI12" s="248"/>
      <c r="IDJ12" s="248"/>
      <c r="IDK12" s="248"/>
      <c r="IDL12" s="248"/>
      <c r="IDM12" s="248"/>
      <c r="IDN12" s="248"/>
      <c r="IDO12" s="248"/>
      <c r="IDP12" s="248"/>
      <c r="IDQ12" s="248"/>
      <c r="IDR12" s="248"/>
      <c r="IDS12" s="248"/>
      <c r="IDT12" s="248"/>
      <c r="IDU12" s="248"/>
      <c r="IDV12" s="248"/>
      <c r="IDW12" s="248"/>
      <c r="IDX12" s="248"/>
      <c r="IDY12" s="248"/>
      <c r="IDZ12" s="248"/>
      <c r="IEA12" s="248"/>
      <c r="IEB12" s="248"/>
      <c r="IEC12" s="248"/>
      <c r="IED12" s="248"/>
      <c r="IEE12" s="248"/>
      <c r="IEF12" s="248"/>
      <c r="IEG12" s="248"/>
      <c r="IEH12" s="248"/>
      <c r="IEI12" s="248"/>
      <c r="IEJ12" s="248"/>
      <c r="IEK12" s="248"/>
      <c r="IEL12" s="248"/>
      <c r="IEM12" s="248"/>
      <c r="IEN12" s="248"/>
      <c r="IEO12" s="248"/>
      <c r="IEP12" s="248"/>
      <c r="IEQ12" s="248"/>
      <c r="IER12" s="248"/>
      <c r="IES12" s="248"/>
      <c r="IET12" s="248"/>
      <c r="IEU12" s="248"/>
      <c r="IEV12" s="248"/>
      <c r="IEW12" s="248"/>
      <c r="IEX12" s="248"/>
      <c r="IEY12" s="248"/>
      <c r="IEZ12" s="248"/>
      <c r="IFA12" s="248"/>
      <c r="IFB12" s="248"/>
      <c r="IFC12" s="248"/>
      <c r="IFD12" s="248"/>
      <c r="IFE12" s="248"/>
      <c r="IFF12" s="248"/>
      <c r="IFG12" s="248"/>
      <c r="IFH12" s="248"/>
      <c r="IFI12" s="248"/>
      <c r="IFJ12" s="248"/>
      <c r="IFK12" s="248"/>
      <c r="IFL12" s="248"/>
      <c r="IFM12" s="248"/>
      <c r="IFN12" s="248"/>
      <c r="IFO12" s="248"/>
      <c r="IFP12" s="248"/>
      <c r="IFQ12" s="248"/>
      <c r="IFR12" s="248"/>
      <c r="IFS12" s="248"/>
      <c r="IFT12" s="248"/>
      <c r="IFU12" s="248"/>
      <c r="IFV12" s="248"/>
      <c r="IFW12" s="248"/>
      <c r="IFX12" s="248"/>
      <c r="IFY12" s="248"/>
      <c r="IFZ12" s="248"/>
      <c r="IGA12" s="248"/>
      <c r="IGB12" s="248"/>
      <c r="IGC12" s="248"/>
      <c r="IGD12" s="248"/>
      <c r="IGE12" s="248"/>
      <c r="IGF12" s="248"/>
      <c r="IGG12" s="248"/>
      <c r="IGH12" s="248"/>
      <c r="IGI12" s="248"/>
      <c r="IGJ12" s="248"/>
      <c r="IGK12" s="248"/>
      <c r="IGL12" s="248"/>
      <c r="IGM12" s="248"/>
      <c r="IGN12" s="248"/>
      <c r="IGO12" s="248"/>
      <c r="IGP12" s="248"/>
      <c r="IGQ12" s="248"/>
      <c r="IGR12" s="248"/>
      <c r="IGS12" s="248"/>
      <c r="IGT12" s="248"/>
      <c r="IGU12" s="248"/>
      <c r="IGV12" s="248"/>
      <c r="IGW12" s="248"/>
      <c r="IGX12" s="248"/>
      <c r="IGY12" s="248"/>
      <c r="IGZ12" s="248"/>
      <c r="IHA12" s="248"/>
      <c r="IHB12" s="248"/>
      <c r="IHC12" s="248"/>
      <c r="IHD12" s="248"/>
      <c r="IHE12" s="248"/>
      <c r="IHF12" s="248"/>
      <c r="IHG12" s="248"/>
      <c r="IHH12" s="248"/>
      <c r="IHI12" s="248"/>
      <c r="IHJ12" s="248"/>
      <c r="IHK12" s="248"/>
      <c r="IHL12" s="248"/>
      <c r="IHM12" s="248"/>
      <c r="IHN12" s="248"/>
      <c r="IHO12" s="248"/>
      <c r="IHP12" s="248"/>
      <c r="IHQ12" s="248"/>
      <c r="IHR12" s="248"/>
      <c r="IHS12" s="248"/>
      <c r="IHT12" s="248"/>
      <c r="IHU12" s="248"/>
      <c r="IHV12" s="248"/>
      <c r="IHW12" s="248"/>
      <c r="IHX12" s="248"/>
      <c r="IHY12" s="248"/>
      <c r="IHZ12" s="248"/>
      <c r="IIA12" s="248"/>
      <c r="IIB12" s="248"/>
      <c r="IIC12" s="248"/>
      <c r="IID12" s="248"/>
      <c r="IIE12" s="248"/>
      <c r="IIF12" s="248"/>
      <c r="IIG12" s="248"/>
      <c r="IIH12" s="248"/>
      <c r="III12" s="248"/>
      <c r="IIJ12" s="248"/>
      <c r="IIK12" s="248"/>
      <c r="IIL12" s="248"/>
      <c r="IIM12" s="248"/>
      <c r="IIN12" s="248"/>
      <c r="IIO12" s="248"/>
      <c r="IIP12" s="248"/>
      <c r="IIQ12" s="248"/>
      <c r="IIR12" s="248"/>
      <c r="IIS12" s="248"/>
      <c r="IIT12" s="248"/>
      <c r="IIU12" s="248"/>
      <c r="IIV12" s="248"/>
      <c r="IIW12" s="248"/>
      <c r="IIX12" s="248"/>
      <c r="IIY12" s="248"/>
      <c r="IIZ12" s="248"/>
      <c r="IJA12" s="248"/>
      <c r="IJB12" s="248"/>
      <c r="IJC12" s="248"/>
      <c r="IJD12" s="248"/>
      <c r="IJE12" s="248"/>
      <c r="IJF12" s="248"/>
      <c r="IJG12" s="248"/>
      <c r="IJH12" s="248"/>
      <c r="IJI12" s="248"/>
      <c r="IJJ12" s="248"/>
      <c r="IJK12" s="248"/>
      <c r="IJL12" s="248"/>
      <c r="IJM12" s="248"/>
      <c r="IJN12" s="248"/>
      <c r="IJO12" s="248"/>
      <c r="IJP12" s="248"/>
      <c r="IJQ12" s="248"/>
      <c r="IJR12" s="248"/>
      <c r="IJS12" s="248"/>
      <c r="IJT12" s="248"/>
      <c r="IJU12" s="248"/>
      <c r="IJV12" s="248"/>
      <c r="IJW12" s="248"/>
      <c r="IJX12" s="248"/>
      <c r="IJY12" s="248"/>
      <c r="IJZ12" s="248"/>
      <c r="IKA12" s="248"/>
      <c r="IKB12" s="248"/>
      <c r="IKC12" s="248"/>
      <c r="IKD12" s="248"/>
      <c r="IKE12" s="248"/>
      <c r="IKF12" s="248"/>
      <c r="IKG12" s="248"/>
      <c r="IKH12" s="248"/>
      <c r="IKI12" s="248"/>
      <c r="IKJ12" s="248"/>
      <c r="IKK12" s="248"/>
      <c r="IKL12" s="248"/>
      <c r="IKM12" s="248"/>
      <c r="IKN12" s="248"/>
      <c r="IKO12" s="248"/>
      <c r="IKP12" s="248"/>
      <c r="IKQ12" s="248"/>
      <c r="IKR12" s="248"/>
      <c r="IKS12" s="248"/>
      <c r="IKT12" s="248"/>
      <c r="IKU12" s="248"/>
      <c r="IKV12" s="248"/>
      <c r="IKW12" s="248"/>
      <c r="IKX12" s="248"/>
      <c r="IKY12" s="248"/>
      <c r="IKZ12" s="248"/>
      <c r="ILA12" s="248"/>
      <c r="ILB12" s="248"/>
      <c r="ILC12" s="248"/>
      <c r="ILD12" s="248"/>
      <c r="ILE12" s="248"/>
      <c r="ILF12" s="248"/>
      <c r="ILG12" s="248"/>
      <c r="ILH12" s="248"/>
      <c r="ILI12" s="248"/>
      <c r="ILJ12" s="248"/>
      <c r="ILK12" s="248"/>
      <c r="ILL12" s="248"/>
      <c r="ILM12" s="248"/>
      <c r="ILN12" s="248"/>
      <c r="ILO12" s="248"/>
      <c r="ILP12" s="248"/>
      <c r="ILQ12" s="248"/>
      <c r="ILR12" s="248"/>
      <c r="ILS12" s="248"/>
      <c r="ILT12" s="248"/>
      <c r="ILU12" s="248"/>
      <c r="ILV12" s="248"/>
      <c r="ILW12" s="248"/>
      <c r="ILX12" s="248"/>
      <c r="ILY12" s="248"/>
      <c r="ILZ12" s="248"/>
      <c r="IMA12" s="248"/>
      <c r="IMB12" s="248"/>
      <c r="IMC12" s="248"/>
      <c r="IMD12" s="248"/>
      <c r="IME12" s="248"/>
      <c r="IMF12" s="248"/>
      <c r="IMG12" s="248"/>
      <c r="IMH12" s="248"/>
      <c r="IMI12" s="248"/>
      <c r="IMJ12" s="248"/>
      <c r="IMK12" s="248"/>
      <c r="IML12" s="248"/>
      <c r="IMM12" s="248"/>
      <c r="IMN12" s="248"/>
      <c r="IMO12" s="248"/>
      <c r="IMP12" s="248"/>
      <c r="IMQ12" s="248"/>
      <c r="IMR12" s="248"/>
      <c r="IMS12" s="248"/>
      <c r="IMT12" s="248"/>
      <c r="IMU12" s="248"/>
      <c r="IMV12" s="248"/>
      <c r="IMW12" s="248"/>
      <c r="IMX12" s="248"/>
      <c r="IMY12" s="248"/>
      <c r="IMZ12" s="248"/>
      <c r="INA12" s="248"/>
      <c r="INB12" s="248"/>
      <c r="INC12" s="248"/>
      <c r="IND12" s="248"/>
      <c r="INE12" s="248"/>
      <c r="INF12" s="248"/>
      <c r="ING12" s="248"/>
      <c r="INH12" s="248"/>
      <c r="INI12" s="248"/>
      <c r="INJ12" s="248"/>
      <c r="INK12" s="248"/>
      <c r="INL12" s="248"/>
      <c r="INM12" s="248"/>
      <c r="INN12" s="248"/>
      <c r="INO12" s="248"/>
      <c r="INP12" s="248"/>
      <c r="INQ12" s="248"/>
      <c r="INR12" s="248"/>
      <c r="INS12" s="248"/>
      <c r="INT12" s="248"/>
      <c r="INU12" s="248"/>
      <c r="INV12" s="248"/>
      <c r="INW12" s="248"/>
      <c r="INX12" s="248"/>
      <c r="INY12" s="248"/>
      <c r="INZ12" s="248"/>
      <c r="IOA12" s="248"/>
      <c r="IOB12" s="248"/>
      <c r="IOC12" s="248"/>
      <c r="IOD12" s="248"/>
      <c r="IOE12" s="248"/>
      <c r="IOF12" s="248"/>
      <c r="IOG12" s="248"/>
      <c r="IOH12" s="248"/>
      <c r="IOI12" s="248"/>
      <c r="IOJ12" s="248"/>
      <c r="IOK12" s="248"/>
      <c r="IOL12" s="248"/>
      <c r="IOM12" s="248"/>
      <c r="ION12" s="248"/>
      <c r="IOO12" s="248"/>
      <c r="IOP12" s="248"/>
      <c r="IOQ12" s="248"/>
      <c r="IOR12" s="248"/>
      <c r="IOS12" s="248"/>
      <c r="IOT12" s="248"/>
      <c r="IOU12" s="248"/>
      <c r="IOV12" s="248"/>
      <c r="IOW12" s="248"/>
      <c r="IOX12" s="248"/>
      <c r="IOY12" s="248"/>
      <c r="IOZ12" s="248"/>
      <c r="IPA12" s="248"/>
      <c r="IPB12" s="248"/>
      <c r="IPC12" s="248"/>
      <c r="IPD12" s="248"/>
      <c r="IPE12" s="248"/>
      <c r="IPF12" s="248"/>
      <c r="IPG12" s="248"/>
      <c r="IPH12" s="248"/>
      <c r="IPI12" s="248"/>
      <c r="IPJ12" s="248"/>
      <c r="IPK12" s="248"/>
      <c r="IPL12" s="248"/>
      <c r="IPM12" s="248"/>
      <c r="IPN12" s="248"/>
      <c r="IPO12" s="248"/>
      <c r="IPP12" s="248"/>
      <c r="IPQ12" s="248"/>
      <c r="IPR12" s="248"/>
      <c r="IPS12" s="248"/>
      <c r="IPT12" s="248"/>
      <c r="IPU12" s="248"/>
      <c r="IPV12" s="248"/>
      <c r="IPW12" s="248"/>
      <c r="IPX12" s="248"/>
      <c r="IPY12" s="248"/>
      <c r="IPZ12" s="248"/>
      <c r="IQA12" s="248"/>
      <c r="IQB12" s="248"/>
      <c r="IQC12" s="248"/>
      <c r="IQD12" s="248"/>
      <c r="IQE12" s="248"/>
      <c r="IQF12" s="248"/>
      <c r="IQG12" s="248"/>
      <c r="IQH12" s="248"/>
      <c r="IQI12" s="248"/>
      <c r="IQJ12" s="248"/>
      <c r="IQK12" s="248"/>
      <c r="IQL12" s="248"/>
      <c r="IQM12" s="248"/>
      <c r="IQN12" s="248"/>
      <c r="IQO12" s="248"/>
      <c r="IQP12" s="248"/>
      <c r="IQQ12" s="248"/>
      <c r="IQR12" s="248"/>
      <c r="IQS12" s="248"/>
      <c r="IQT12" s="248"/>
      <c r="IQU12" s="248"/>
      <c r="IQV12" s="248"/>
      <c r="IQW12" s="248"/>
      <c r="IQX12" s="248"/>
      <c r="IQY12" s="248"/>
      <c r="IQZ12" s="248"/>
      <c r="IRA12" s="248"/>
      <c r="IRB12" s="248"/>
      <c r="IRC12" s="248"/>
      <c r="IRD12" s="248"/>
      <c r="IRE12" s="248"/>
      <c r="IRF12" s="248"/>
      <c r="IRG12" s="248"/>
      <c r="IRH12" s="248"/>
      <c r="IRI12" s="248"/>
      <c r="IRJ12" s="248"/>
      <c r="IRK12" s="248"/>
      <c r="IRL12" s="248"/>
      <c r="IRM12" s="248"/>
      <c r="IRN12" s="248"/>
      <c r="IRO12" s="248"/>
      <c r="IRP12" s="248"/>
      <c r="IRQ12" s="248"/>
      <c r="IRR12" s="248"/>
      <c r="IRS12" s="248"/>
      <c r="IRT12" s="248"/>
      <c r="IRU12" s="248"/>
      <c r="IRV12" s="248"/>
      <c r="IRW12" s="248"/>
      <c r="IRX12" s="248"/>
      <c r="IRY12" s="248"/>
      <c r="IRZ12" s="248"/>
      <c r="ISA12" s="248"/>
      <c r="ISB12" s="248"/>
      <c r="ISC12" s="248"/>
      <c r="ISD12" s="248"/>
      <c r="ISE12" s="248"/>
      <c r="ISF12" s="248"/>
      <c r="ISG12" s="248"/>
      <c r="ISH12" s="248"/>
      <c r="ISI12" s="248"/>
      <c r="ISJ12" s="248"/>
      <c r="ISK12" s="248"/>
      <c r="ISL12" s="248"/>
      <c r="ISM12" s="248"/>
      <c r="ISN12" s="248"/>
      <c r="ISO12" s="248"/>
      <c r="ISP12" s="248"/>
      <c r="ISQ12" s="248"/>
      <c r="ISR12" s="248"/>
      <c r="ISS12" s="248"/>
      <c r="IST12" s="248"/>
      <c r="ISU12" s="248"/>
      <c r="ISV12" s="248"/>
      <c r="ISW12" s="248"/>
      <c r="ISX12" s="248"/>
      <c r="ISY12" s="248"/>
      <c r="ISZ12" s="248"/>
      <c r="ITA12" s="248"/>
      <c r="ITB12" s="248"/>
      <c r="ITC12" s="248"/>
      <c r="ITD12" s="248"/>
      <c r="ITE12" s="248"/>
      <c r="ITF12" s="248"/>
      <c r="ITG12" s="248"/>
      <c r="ITH12" s="248"/>
      <c r="ITI12" s="248"/>
      <c r="ITJ12" s="248"/>
      <c r="ITK12" s="248"/>
      <c r="ITL12" s="248"/>
      <c r="ITM12" s="248"/>
      <c r="ITN12" s="248"/>
      <c r="ITO12" s="248"/>
      <c r="ITP12" s="248"/>
      <c r="ITQ12" s="248"/>
      <c r="ITR12" s="248"/>
      <c r="ITS12" s="248"/>
      <c r="ITT12" s="248"/>
      <c r="ITU12" s="248"/>
      <c r="ITV12" s="248"/>
      <c r="ITW12" s="248"/>
      <c r="ITX12" s="248"/>
      <c r="ITY12" s="248"/>
      <c r="ITZ12" s="248"/>
      <c r="IUA12" s="248"/>
      <c r="IUB12" s="248"/>
      <c r="IUC12" s="248"/>
      <c r="IUD12" s="248"/>
      <c r="IUE12" s="248"/>
      <c r="IUF12" s="248"/>
      <c r="IUG12" s="248"/>
      <c r="IUH12" s="248"/>
      <c r="IUI12" s="248"/>
      <c r="IUJ12" s="248"/>
      <c r="IUK12" s="248"/>
      <c r="IUL12" s="248"/>
      <c r="IUM12" s="248"/>
      <c r="IUN12" s="248"/>
      <c r="IUO12" s="248"/>
      <c r="IUP12" s="248"/>
      <c r="IUQ12" s="248"/>
      <c r="IUR12" s="248"/>
      <c r="IUS12" s="248"/>
      <c r="IUT12" s="248"/>
      <c r="IUU12" s="248"/>
      <c r="IUV12" s="248"/>
      <c r="IUW12" s="248"/>
      <c r="IUX12" s="248"/>
      <c r="IUY12" s="248"/>
      <c r="IUZ12" s="248"/>
      <c r="IVA12" s="248"/>
      <c r="IVB12" s="248"/>
      <c r="IVC12" s="248"/>
      <c r="IVD12" s="248"/>
      <c r="IVE12" s="248"/>
      <c r="IVF12" s="248"/>
      <c r="IVG12" s="248"/>
      <c r="IVH12" s="248"/>
      <c r="IVI12" s="248"/>
      <c r="IVJ12" s="248"/>
      <c r="IVK12" s="248"/>
      <c r="IVL12" s="248"/>
      <c r="IVM12" s="248"/>
      <c r="IVN12" s="248"/>
      <c r="IVO12" s="248"/>
      <c r="IVP12" s="248"/>
      <c r="IVQ12" s="248"/>
      <c r="IVR12" s="248"/>
      <c r="IVS12" s="248"/>
      <c r="IVT12" s="248"/>
      <c r="IVU12" s="248"/>
      <c r="IVV12" s="248"/>
      <c r="IVW12" s="248"/>
      <c r="IVX12" s="248"/>
      <c r="IVY12" s="248"/>
      <c r="IVZ12" s="248"/>
      <c r="IWA12" s="248"/>
      <c r="IWB12" s="248"/>
      <c r="IWC12" s="248"/>
      <c r="IWD12" s="248"/>
      <c r="IWE12" s="248"/>
      <c r="IWF12" s="248"/>
      <c r="IWG12" s="248"/>
      <c r="IWH12" s="248"/>
      <c r="IWI12" s="248"/>
      <c r="IWJ12" s="248"/>
      <c r="IWK12" s="248"/>
      <c r="IWL12" s="248"/>
      <c r="IWM12" s="248"/>
      <c r="IWN12" s="248"/>
      <c r="IWO12" s="248"/>
      <c r="IWP12" s="248"/>
      <c r="IWQ12" s="248"/>
      <c r="IWR12" s="248"/>
      <c r="IWS12" s="248"/>
      <c r="IWT12" s="248"/>
      <c r="IWU12" s="248"/>
      <c r="IWV12" s="248"/>
      <c r="IWW12" s="248"/>
      <c r="IWX12" s="248"/>
      <c r="IWY12" s="248"/>
      <c r="IWZ12" s="248"/>
      <c r="IXA12" s="248"/>
      <c r="IXB12" s="248"/>
      <c r="IXC12" s="248"/>
      <c r="IXD12" s="248"/>
      <c r="IXE12" s="248"/>
      <c r="IXF12" s="248"/>
      <c r="IXG12" s="248"/>
      <c r="IXH12" s="248"/>
      <c r="IXI12" s="248"/>
      <c r="IXJ12" s="248"/>
      <c r="IXK12" s="248"/>
      <c r="IXL12" s="248"/>
      <c r="IXM12" s="248"/>
      <c r="IXN12" s="248"/>
      <c r="IXO12" s="248"/>
      <c r="IXP12" s="248"/>
      <c r="IXQ12" s="248"/>
      <c r="IXR12" s="248"/>
      <c r="IXS12" s="248"/>
      <c r="IXT12" s="248"/>
      <c r="IXU12" s="248"/>
      <c r="IXV12" s="248"/>
      <c r="IXW12" s="248"/>
      <c r="IXX12" s="248"/>
      <c r="IXY12" s="248"/>
      <c r="IXZ12" s="248"/>
      <c r="IYA12" s="248"/>
      <c r="IYB12" s="248"/>
      <c r="IYC12" s="248"/>
      <c r="IYD12" s="248"/>
      <c r="IYE12" s="248"/>
      <c r="IYF12" s="248"/>
      <c r="IYG12" s="248"/>
      <c r="IYH12" s="248"/>
      <c r="IYI12" s="248"/>
      <c r="IYJ12" s="248"/>
      <c r="IYK12" s="248"/>
      <c r="IYL12" s="248"/>
      <c r="IYM12" s="248"/>
      <c r="IYN12" s="248"/>
      <c r="IYO12" s="248"/>
      <c r="IYP12" s="248"/>
      <c r="IYQ12" s="248"/>
      <c r="IYR12" s="248"/>
      <c r="IYS12" s="248"/>
      <c r="IYT12" s="248"/>
      <c r="IYU12" s="248"/>
      <c r="IYV12" s="248"/>
      <c r="IYW12" s="248"/>
      <c r="IYX12" s="248"/>
      <c r="IYY12" s="248"/>
      <c r="IYZ12" s="248"/>
      <c r="IZA12" s="248"/>
      <c r="IZB12" s="248"/>
      <c r="IZC12" s="248"/>
      <c r="IZD12" s="248"/>
      <c r="IZE12" s="248"/>
      <c r="IZF12" s="248"/>
      <c r="IZG12" s="248"/>
      <c r="IZH12" s="248"/>
      <c r="IZI12" s="248"/>
      <c r="IZJ12" s="248"/>
      <c r="IZK12" s="248"/>
      <c r="IZL12" s="248"/>
      <c r="IZM12" s="248"/>
      <c r="IZN12" s="248"/>
      <c r="IZO12" s="248"/>
      <c r="IZP12" s="248"/>
      <c r="IZQ12" s="248"/>
      <c r="IZR12" s="248"/>
      <c r="IZS12" s="248"/>
      <c r="IZT12" s="248"/>
      <c r="IZU12" s="248"/>
      <c r="IZV12" s="248"/>
      <c r="IZW12" s="248"/>
      <c r="IZX12" s="248"/>
      <c r="IZY12" s="248"/>
      <c r="IZZ12" s="248"/>
      <c r="JAA12" s="248"/>
      <c r="JAB12" s="248"/>
      <c r="JAC12" s="248"/>
      <c r="JAD12" s="248"/>
      <c r="JAE12" s="248"/>
      <c r="JAF12" s="248"/>
      <c r="JAG12" s="248"/>
      <c r="JAH12" s="248"/>
      <c r="JAI12" s="248"/>
      <c r="JAJ12" s="248"/>
      <c r="JAK12" s="248"/>
      <c r="JAL12" s="248"/>
      <c r="JAM12" s="248"/>
      <c r="JAN12" s="248"/>
      <c r="JAO12" s="248"/>
      <c r="JAP12" s="248"/>
      <c r="JAQ12" s="248"/>
      <c r="JAR12" s="248"/>
      <c r="JAS12" s="248"/>
      <c r="JAT12" s="248"/>
      <c r="JAU12" s="248"/>
      <c r="JAV12" s="248"/>
      <c r="JAW12" s="248"/>
      <c r="JAX12" s="248"/>
      <c r="JAY12" s="248"/>
      <c r="JAZ12" s="248"/>
      <c r="JBA12" s="248"/>
      <c r="JBB12" s="248"/>
      <c r="JBC12" s="248"/>
      <c r="JBD12" s="248"/>
      <c r="JBE12" s="248"/>
      <c r="JBF12" s="248"/>
      <c r="JBG12" s="248"/>
      <c r="JBH12" s="248"/>
      <c r="JBI12" s="248"/>
      <c r="JBJ12" s="248"/>
      <c r="JBK12" s="248"/>
      <c r="JBL12" s="248"/>
      <c r="JBM12" s="248"/>
      <c r="JBN12" s="248"/>
      <c r="JBO12" s="248"/>
      <c r="JBP12" s="248"/>
      <c r="JBQ12" s="248"/>
      <c r="JBR12" s="248"/>
      <c r="JBS12" s="248"/>
      <c r="JBT12" s="248"/>
      <c r="JBU12" s="248"/>
      <c r="JBV12" s="248"/>
      <c r="JBW12" s="248"/>
      <c r="JBX12" s="248"/>
      <c r="JBY12" s="248"/>
      <c r="JBZ12" s="248"/>
      <c r="JCA12" s="248"/>
      <c r="JCB12" s="248"/>
      <c r="JCC12" s="248"/>
      <c r="JCD12" s="248"/>
      <c r="JCE12" s="248"/>
      <c r="JCF12" s="248"/>
      <c r="JCG12" s="248"/>
      <c r="JCH12" s="248"/>
      <c r="JCI12" s="248"/>
      <c r="JCJ12" s="248"/>
      <c r="JCK12" s="248"/>
      <c r="JCL12" s="248"/>
      <c r="JCM12" s="248"/>
      <c r="JCN12" s="248"/>
      <c r="JCO12" s="248"/>
      <c r="JCP12" s="248"/>
      <c r="JCQ12" s="248"/>
      <c r="JCR12" s="248"/>
      <c r="JCS12" s="248"/>
      <c r="JCT12" s="248"/>
      <c r="JCU12" s="248"/>
      <c r="JCV12" s="248"/>
      <c r="JCW12" s="248"/>
      <c r="JCX12" s="248"/>
      <c r="JCY12" s="248"/>
      <c r="JCZ12" s="248"/>
      <c r="JDA12" s="248"/>
      <c r="JDB12" s="248"/>
      <c r="JDC12" s="248"/>
      <c r="JDD12" s="248"/>
      <c r="JDE12" s="248"/>
      <c r="JDF12" s="248"/>
      <c r="JDG12" s="248"/>
      <c r="JDH12" s="248"/>
      <c r="JDI12" s="248"/>
      <c r="JDJ12" s="248"/>
      <c r="JDK12" s="248"/>
      <c r="JDL12" s="248"/>
      <c r="JDM12" s="248"/>
      <c r="JDN12" s="248"/>
      <c r="JDO12" s="248"/>
      <c r="JDP12" s="248"/>
      <c r="JDQ12" s="248"/>
      <c r="JDR12" s="248"/>
      <c r="JDS12" s="248"/>
      <c r="JDT12" s="248"/>
      <c r="JDU12" s="248"/>
      <c r="JDV12" s="248"/>
      <c r="JDW12" s="248"/>
      <c r="JDX12" s="248"/>
      <c r="JDY12" s="248"/>
      <c r="JDZ12" s="248"/>
      <c r="JEA12" s="248"/>
      <c r="JEB12" s="248"/>
      <c r="JEC12" s="248"/>
      <c r="JED12" s="248"/>
      <c r="JEE12" s="248"/>
      <c r="JEF12" s="248"/>
      <c r="JEG12" s="248"/>
      <c r="JEH12" s="248"/>
      <c r="JEI12" s="248"/>
      <c r="JEJ12" s="248"/>
      <c r="JEK12" s="248"/>
      <c r="JEL12" s="248"/>
      <c r="JEM12" s="248"/>
      <c r="JEN12" s="248"/>
      <c r="JEO12" s="248"/>
      <c r="JEP12" s="248"/>
      <c r="JEQ12" s="248"/>
      <c r="JER12" s="248"/>
      <c r="JES12" s="248"/>
      <c r="JET12" s="248"/>
      <c r="JEU12" s="248"/>
      <c r="JEV12" s="248"/>
      <c r="JEW12" s="248"/>
      <c r="JEX12" s="248"/>
      <c r="JEY12" s="248"/>
      <c r="JEZ12" s="248"/>
      <c r="JFA12" s="248"/>
      <c r="JFB12" s="248"/>
      <c r="JFC12" s="248"/>
      <c r="JFD12" s="248"/>
      <c r="JFE12" s="248"/>
      <c r="JFF12" s="248"/>
      <c r="JFG12" s="248"/>
      <c r="JFH12" s="248"/>
      <c r="JFI12" s="248"/>
      <c r="JFJ12" s="248"/>
      <c r="JFK12" s="248"/>
      <c r="JFL12" s="248"/>
      <c r="JFM12" s="248"/>
      <c r="JFN12" s="248"/>
      <c r="JFO12" s="248"/>
      <c r="JFP12" s="248"/>
      <c r="JFQ12" s="248"/>
      <c r="JFR12" s="248"/>
      <c r="JFS12" s="248"/>
      <c r="JFT12" s="248"/>
      <c r="JFU12" s="248"/>
      <c r="JFV12" s="248"/>
      <c r="JFW12" s="248"/>
      <c r="JFX12" s="248"/>
      <c r="JFY12" s="248"/>
      <c r="JFZ12" s="248"/>
      <c r="JGA12" s="248"/>
      <c r="JGB12" s="248"/>
      <c r="JGC12" s="248"/>
      <c r="JGD12" s="248"/>
      <c r="JGE12" s="248"/>
      <c r="JGF12" s="248"/>
      <c r="JGG12" s="248"/>
      <c r="JGH12" s="248"/>
      <c r="JGI12" s="248"/>
      <c r="JGJ12" s="248"/>
      <c r="JGK12" s="248"/>
      <c r="JGL12" s="248"/>
      <c r="JGM12" s="248"/>
      <c r="JGN12" s="248"/>
      <c r="JGO12" s="248"/>
      <c r="JGP12" s="248"/>
      <c r="JGQ12" s="248"/>
      <c r="JGR12" s="248"/>
      <c r="JGS12" s="248"/>
      <c r="JGT12" s="248"/>
      <c r="JGU12" s="248"/>
      <c r="JGV12" s="248"/>
      <c r="JGW12" s="248"/>
      <c r="JGX12" s="248"/>
      <c r="JGY12" s="248"/>
      <c r="JGZ12" s="248"/>
      <c r="JHA12" s="248"/>
      <c r="JHB12" s="248"/>
      <c r="JHC12" s="248"/>
      <c r="JHD12" s="248"/>
      <c r="JHE12" s="248"/>
      <c r="JHF12" s="248"/>
      <c r="JHG12" s="248"/>
      <c r="JHH12" s="248"/>
      <c r="JHI12" s="248"/>
      <c r="JHJ12" s="248"/>
      <c r="JHK12" s="248"/>
      <c r="JHL12" s="248"/>
      <c r="JHM12" s="248"/>
      <c r="JHN12" s="248"/>
      <c r="JHO12" s="248"/>
      <c r="JHP12" s="248"/>
      <c r="JHQ12" s="248"/>
      <c r="JHR12" s="248"/>
      <c r="JHS12" s="248"/>
      <c r="JHT12" s="248"/>
      <c r="JHU12" s="248"/>
      <c r="JHV12" s="248"/>
      <c r="JHW12" s="248"/>
      <c r="JHX12" s="248"/>
      <c r="JHY12" s="248"/>
      <c r="JHZ12" s="248"/>
      <c r="JIA12" s="248"/>
      <c r="JIB12" s="248"/>
      <c r="JIC12" s="248"/>
      <c r="JID12" s="248"/>
      <c r="JIE12" s="248"/>
      <c r="JIF12" s="248"/>
      <c r="JIG12" s="248"/>
      <c r="JIH12" s="248"/>
      <c r="JII12" s="248"/>
      <c r="JIJ12" s="248"/>
      <c r="JIK12" s="248"/>
      <c r="JIL12" s="248"/>
      <c r="JIM12" s="248"/>
      <c r="JIN12" s="248"/>
      <c r="JIO12" s="248"/>
      <c r="JIP12" s="248"/>
      <c r="JIQ12" s="248"/>
      <c r="JIR12" s="248"/>
      <c r="JIS12" s="248"/>
      <c r="JIT12" s="248"/>
      <c r="JIU12" s="248"/>
      <c r="JIV12" s="248"/>
      <c r="JIW12" s="248"/>
      <c r="JIX12" s="248"/>
      <c r="JIY12" s="248"/>
      <c r="JIZ12" s="248"/>
      <c r="JJA12" s="248"/>
      <c r="JJB12" s="248"/>
      <c r="JJC12" s="248"/>
      <c r="JJD12" s="248"/>
      <c r="JJE12" s="248"/>
      <c r="JJF12" s="248"/>
      <c r="JJG12" s="248"/>
      <c r="JJH12" s="248"/>
      <c r="JJI12" s="248"/>
      <c r="JJJ12" s="248"/>
      <c r="JJK12" s="248"/>
      <c r="JJL12" s="248"/>
      <c r="JJM12" s="248"/>
      <c r="JJN12" s="248"/>
      <c r="JJO12" s="248"/>
      <c r="JJP12" s="248"/>
      <c r="JJQ12" s="248"/>
      <c r="JJR12" s="248"/>
      <c r="JJS12" s="248"/>
      <c r="JJT12" s="248"/>
      <c r="JJU12" s="248"/>
      <c r="JJV12" s="248"/>
      <c r="JJW12" s="248"/>
      <c r="JJX12" s="248"/>
      <c r="JJY12" s="248"/>
      <c r="JJZ12" s="248"/>
      <c r="JKA12" s="248"/>
      <c r="JKB12" s="248"/>
      <c r="JKC12" s="248"/>
      <c r="JKD12" s="248"/>
      <c r="JKE12" s="248"/>
      <c r="JKF12" s="248"/>
      <c r="JKG12" s="248"/>
      <c r="JKH12" s="248"/>
      <c r="JKI12" s="248"/>
      <c r="JKJ12" s="248"/>
      <c r="JKK12" s="248"/>
      <c r="JKL12" s="248"/>
      <c r="JKM12" s="248"/>
      <c r="JKN12" s="248"/>
      <c r="JKO12" s="248"/>
      <c r="JKP12" s="248"/>
      <c r="JKQ12" s="248"/>
      <c r="JKR12" s="248"/>
      <c r="JKS12" s="248"/>
      <c r="JKT12" s="248"/>
      <c r="JKU12" s="248"/>
      <c r="JKV12" s="248"/>
      <c r="JKW12" s="248"/>
      <c r="JKX12" s="248"/>
      <c r="JKY12" s="248"/>
      <c r="JKZ12" s="248"/>
      <c r="JLA12" s="248"/>
      <c r="JLB12" s="248"/>
      <c r="JLC12" s="248"/>
      <c r="JLD12" s="248"/>
      <c r="JLE12" s="248"/>
      <c r="JLF12" s="248"/>
      <c r="JLG12" s="248"/>
      <c r="JLH12" s="248"/>
      <c r="JLI12" s="248"/>
      <c r="JLJ12" s="248"/>
      <c r="JLK12" s="248"/>
      <c r="JLL12" s="248"/>
      <c r="JLM12" s="248"/>
      <c r="JLN12" s="248"/>
      <c r="JLO12" s="248"/>
      <c r="JLP12" s="248"/>
      <c r="JLQ12" s="248"/>
      <c r="JLR12" s="248"/>
      <c r="JLS12" s="248"/>
      <c r="JLT12" s="248"/>
      <c r="JLU12" s="248"/>
      <c r="JLV12" s="248"/>
      <c r="JLW12" s="248"/>
      <c r="JLX12" s="248"/>
      <c r="JLY12" s="248"/>
      <c r="JLZ12" s="248"/>
      <c r="JMA12" s="248"/>
      <c r="JMB12" s="248"/>
      <c r="JMC12" s="248"/>
      <c r="JMD12" s="248"/>
      <c r="JME12" s="248"/>
      <c r="JMF12" s="248"/>
      <c r="JMG12" s="248"/>
      <c r="JMH12" s="248"/>
      <c r="JMI12" s="248"/>
      <c r="JMJ12" s="248"/>
      <c r="JMK12" s="248"/>
      <c r="JML12" s="248"/>
      <c r="JMM12" s="248"/>
      <c r="JMN12" s="248"/>
      <c r="JMO12" s="248"/>
      <c r="JMP12" s="248"/>
      <c r="JMQ12" s="248"/>
      <c r="JMR12" s="248"/>
      <c r="JMS12" s="248"/>
      <c r="JMT12" s="248"/>
      <c r="JMU12" s="248"/>
      <c r="JMV12" s="248"/>
      <c r="JMW12" s="248"/>
      <c r="JMX12" s="248"/>
      <c r="JMY12" s="248"/>
      <c r="JMZ12" s="248"/>
      <c r="JNA12" s="248"/>
      <c r="JNB12" s="248"/>
      <c r="JNC12" s="248"/>
      <c r="JND12" s="248"/>
      <c r="JNE12" s="248"/>
      <c r="JNF12" s="248"/>
      <c r="JNG12" s="248"/>
      <c r="JNH12" s="248"/>
      <c r="JNI12" s="248"/>
      <c r="JNJ12" s="248"/>
      <c r="JNK12" s="248"/>
      <c r="JNL12" s="248"/>
      <c r="JNM12" s="248"/>
      <c r="JNN12" s="248"/>
      <c r="JNO12" s="248"/>
      <c r="JNP12" s="248"/>
      <c r="JNQ12" s="248"/>
      <c r="JNR12" s="248"/>
      <c r="JNS12" s="248"/>
      <c r="JNT12" s="248"/>
      <c r="JNU12" s="248"/>
      <c r="JNV12" s="248"/>
      <c r="JNW12" s="248"/>
      <c r="JNX12" s="248"/>
      <c r="JNY12" s="248"/>
      <c r="JNZ12" s="248"/>
      <c r="JOA12" s="248"/>
      <c r="JOB12" s="248"/>
      <c r="JOC12" s="248"/>
      <c r="JOD12" s="248"/>
      <c r="JOE12" s="248"/>
      <c r="JOF12" s="248"/>
      <c r="JOG12" s="248"/>
      <c r="JOH12" s="248"/>
      <c r="JOI12" s="248"/>
      <c r="JOJ12" s="248"/>
      <c r="JOK12" s="248"/>
      <c r="JOL12" s="248"/>
      <c r="JOM12" s="248"/>
      <c r="JON12" s="248"/>
      <c r="JOO12" s="248"/>
      <c r="JOP12" s="248"/>
      <c r="JOQ12" s="248"/>
      <c r="JOR12" s="248"/>
      <c r="JOS12" s="248"/>
      <c r="JOT12" s="248"/>
      <c r="JOU12" s="248"/>
      <c r="JOV12" s="248"/>
      <c r="JOW12" s="248"/>
      <c r="JOX12" s="248"/>
      <c r="JOY12" s="248"/>
      <c r="JOZ12" s="248"/>
      <c r="JPA12" s="248"/>
      <c r="JPB12" s="248"/>
      <c r="JPC12" s="248"/>
      <c r="JPD12" s="248"/>
      <c r="JPE12" s="248"/>
      <c r="JPF12" s="248"/>
      <c r="JPG12" s="248"/>
      <c r="JPH12" s="248"/>
      <c r="JPI12" s="248"/>
      <c r="JPJ12" s="248"/>
      <c r="JPK12" s="248"/>
      <c r="JPL12" s="248"/>
      <c r="JPM12" s="248"/>
      <c r="JPN12" s="248"/>
      <c r="JPO12" s="248"/>
      <c r="JPP12" s="248"/>
      <c r="JPQ12" s="248"/>
      <c r="JPR12" s="248"/>
      <c r="JPS12" s="248"/>
      <c r="JPT12" s="248"/>
      <c r="JPU12" s="248"/>
      <c r="JPV12" s="248"/>
      <c r="JPW12" s="248"/>
      <c r="JPX12" s="248"/>
      <c r="JPY12" s="248"/>
      <c r="JPZ12" s="248"/>
      <c r="JQA12" s="248"/>
      <c r="JQB12" s="248"/>
      <c r="JQC12" s="248"/>
      <c r="JQD12" s="248"/>
      <c r="JQE12" s="248"/>
      <c r="JQF12" s="248"/>
      <c r="JQG12" s="248"/>
      <c r="JQH12" s="248"/>
      <c r="JQI12" s="248"/>
      <c r="JQJ12" s="248"/>
      <c r="JQK12" s="248"/>
      <c r="JQL12" s="248"/>
      <c r="JQM12" s="248"/>
      <c r="JQN12" s="248"/>
      <c r="JQO12" s="248"/>
      <c r="JQP12" s="248"/>
      <c r="JQQ12" s="248"/>
      <c r="JQR12" s="248"/>
      <c r="JQS12" s="248"/>
      <c r="JQT12" s="248"/>
      <c r="JQU12" s="248"/>
      <c r="JQV12" s="248"/>
      <c r="JQW12" s="248"/>
      <c r="JQX12" s="248"/>
      <c r="JQY12" s="248"/>
      <c r="JQZ12" s="248"/>
      <c r="JRA12" s="248"/>
      <c r="JRB12" s="248"/>
      <c r="JRC12" s="248"/>
      <c r="JRD12" s="248"/>
      <c r="JRE12" s="248"/>
      <c r="JRF12" s="248"/>
      <c r="JRG12" s="248"/>
      <c r="JRH12" s="248"/>
      <c r="JRI12" s="248"/>
      <c r="JRJ12" s="248"/>
      <c r="JRK12" s="248"/>
      <c r="JRL12" s="248"/>
      <c r="JRM12" s="248"/>
      <c r="JRN12" s="248"/>
      <c r="JRO12" s="248"/>
      <c r="JRP12" s="248"/>
      <c r="JRQ12" s="248"/>
      <c r="JRR12" s="248"/>
      <c r="JRS12" s="248"/>
      <c r="JRT12" s="248"/>
      <c r="JRU12" s="248"/>
      <c r="JRV12" s="248"/>
      <c r="JRW12" s="248"/>
      <c r="JRX12" s="248"/>
      <c r="JRY12" s="248"/>
      <c r="JRZ12" s="248"/>
      <c r="JSA12" s="248"/>
      <c r="JSB12" s="248"/>
      <c r="JSC12" s="248"/>
      <c r="JSD12" s="248"/>
      <c r="JSE12" s="248"/>
      <c r="JSF12" s="248"/>
      <c r="JSG12" s="248"/>
      <c r="JSH12" s="248"/>
      <c r="JSI12" s="248"/>
      <c r="JSJ12" s="248"/>
      <c r="JSK12" s="248"/>
      <c r="JSL12" s="248"/>
      <c r="JSM12" s="248"/>
      <c r="JSN12" s="248"/>
      <c r="JSO12" s="248"/>
      <c r="JSP12" s="248"/>
      <c r="JSQ12" s="248"/>
      <c r="JSR12" s="248"/>
      <c r="JSS12" s="248"/>
      <c r="JST12" s="248"/>
      <c r="JSU12" s="248"/>
      <c r="JSV12" s="248"/>
      <c r="JSW12" s="248"/>
      <c r="JSX12" s="248"/>
      <c r="JSY12" s="248"/>
      <c r="JSZ12" s="248"/>
      <c r="JTA12" s="248"/>
      <c r="JTB12" s="248"/>
      <c r="JTC12" s="248"/>
      <c r="JTD12" s="248"/>
      <c r="JTE12" s="248"/>
      <c r="JTF12" s="248"/>
      <c r="JTG12" s="248"/>
      <c r="JTH12" s="248"/>
      <c r="JTI12" s="248"/>
      <c r="JTJ12" s="248"/>
      <c r="JTK12" s="248"/>
      <c r="JTL12" s="248"/>
      <c r="JTM12" s="248"/>
      <c r="JTN12" s="248"/>
      <c r="JTO12" s="248"/>
      <c r="JTP12" s="248"/>
      <c r="JTQ12" s="248"/>
      <c r="JTR12" s="248"/>
      <c r="JTS12" s="248"/>
      <c r="JTT12" s="248"/>
      <c r="JTU12" s="248"/>
      <c r="JTV12" s="248"/>
      <c r="JTW12" s="248"/>
      <c r="JTX12" s="248"/>
      <c r="JTY12" s="248"/>
      <c r="JTZ12" s="248"/>
      <c r="JUA12" s="248"/>
      <c r="JUB12" s="248"/>
      <c r="JUC12" s="248"/>
      <c r="JUD12" s="248"/>
      <c r="JUE12" s="248"/>
      <c r="JUF12" s="248"/>
      <c r="JUG12" s="248"/>
      <c r="JUH12" s="248"/>
      <c r="JUI12" s="248"/>
      <c r="JUJ12" s="248"/>
      <c r="JUK12" s="248"/>
      <c r="JUL12" s="248"/>
      <c r="JUM12" s="248"/>
      <c r="JUN12" s="248"/>
      <c r="JUO12" s="248"/>
      <c r="JUP12" s="248"/>
      <c r="JUQ12" s="248"/>
      <c r="JUR12" s="248"/>
      <c r="JUS12" s="248"/>
      <c r="JUT12" s="248"/>
      <c r="JUU12" s="248"/>
      <c r="JUV12" s="248"/>
      <c r="JUW12" s="248"/>
      <c r="JUX12" s="248"/>
      <c r="JUY12" s="248"/>
      <c r="JUZ12" s="248"/>
      <c r="JVA12" s="248"/>
      <c r="JVB12" s="248"/>
      <c r="JVC12" s="248"/>
      <c r="JVD12" s="248"/>
      <c r="JVE12" s="248"/>
      <c r="JVF12" s="248"/>
      <c r="JVG12" s="248"/>
      <c r="JVH12" s="248"/>
      <c r="JVI12" s="248"/>
      <c r="JVJ12" s="248"/>
      <c r="JVK12" s="248"/>
      <c r="JVL12" s="248"/>
      <c r="JVM12" s="248"/>
      <c r="JVN12" s="248"/>
      <c r="JVO12" s="248"/>
      <c r="JVP12" s="248"/>
      <c r="JVQ12" s="248"/>
      <c r="JVR12" s="248"/>
      <c r="JVS12" s="248"/>
      <c r="JVT12" s="248"/>
      <c r="JVU12" s="248"/>
      <c r="JVV12" s="248"/>
      <c r="JVW12" s="248"/>
      <c r="JVX12" s="248"/>
      <c r="JVY12" s="248"/>
      <c r="JVZ12" s="248"/>
      <c r="JWA12" s="248"/>
      <c r="JWB12" s="248"/>
      <c r="JWC12" s="248"/>
      <c r="JWD12" s="248"/>
      <c r="JWE12" s="248"/>
      <c r="JWF12" s="248"/>
      <c r="JWG12" s="248"/>
      <c r="JWH12" s="248"/>
      <c r="JWI12" s="248"/>
      <c r="JWJ12" s="248"/>
      <c r="JWK12" s="248"/>
      <c r="JWL12" s="248"/>
      <c r="JWM12" s="248"/>
      <c r="JWN12" s="248"/>
      <c r="JWO12" s="248"/>
      <c r="JWP12" s="248"/>
      <c r="JWQ12" s="248"/>
      <c r="JWR12" s="248"/>
      <c r="JWS12" s="248"/>
      <c r="JWT12" s="248"/>
      <c r="JWU12" s="248"/>
      <c r="JWV12" s="248"/>
      <c r="JWW12" s="248"/>
      <c r="JWX12" s="248"/>
      <c r="JWY12" s="248"/>
      <c r="JWZ12" s="248"/>
      <c r="JXA12" s="248"/>
      <c r="JXB12" s="248"/>
      <c r="JXC12" s="248"/>
      <c r="JXD12" s="248"/>
      <c r="JXE12" s="248"/>
      <c r="JXF12" s="248"/>
      <c r="JXG12" s="248"/>
      <c r="JXH12" s="248"/>
      <c r="JXI12" s="248"/>
      <c r="JXJ12" s="248"/>
      <c r="JXK12" s="248"/>
      <c r="JXL12" s="248"/>
      <c r="JXM12" s="248"/>
      <c r="JXN12" s="248"/>
      <c r="JXO12" s="248"/>
      <c r="JXP12" s="248"/>
      <c r="JXQ12" s="248"/>
      <c r="JXR12" s="248"/>
      <c r="JXS12" s="248"/>
      <c r="JXT12" s="248"/>
      <c r="JXU12" s="248"/>
      <c r="JXV12" s="248"/>
      <c r="JXW12" s="248"/>
      <c r="JXX12" s="248"/>
      <c r="JXY12" s="248"/>
      <c r="JXZ12" s="248"/>
      <c r="JYA12" s="248"/>
      <c r="JYB12" s="248"/>
      <c r="JYC12" s="248"/>
      <c r="JYD12" s="248"/>
      <c r="JYE12" s="248"/>
      <c r="JYF12" s="248"/>
      <c r="JYG12" s="248"/>
      <c r="JYH12" s="248"/>
      <c r="JYI12" s="248"/>
      <c r="JYJ12" s="248"/>
      <c r="JYK12" s="248"/>
      <c r="JYL12" s="248"/>
      <c r="JYM12" s="248"/>
      <c r="JYN12" s="248"/>
      <c r="JYO12" s="248"/>
      <c r="JYP12" s="248"/>
      <c r="JYQ12" s="248"/>
      <c r="JYR12" s="248"/>
      <c r="JYS12" s="248"/>
      <c r="JYT12" s="248"/>
      <c r="JYU12" s="248"/>
      <c r="JYV12" s="248"/>
      <c r="JYW12" s="248"/>
      <c r="JYX12" s="248"/>
      <c r="JYY12" s="248"/>
      <c r="JYZ12" s="248"/>
      <c r="JZA12" s="248"/>
      <c r="JZB12" s="248"/>
      <c r="JZC12" s="248"/>
      <c r="JZD12" s="248"/>
      <c r="JZE12" s="248"/>
      <c r="JZF12" s="248"/>
      <c r="JZG12" s="248"/>
      <c r="JZH12" s="248"/>
      <c r="JZI12" s="248"/>
      <c r="JZJ12" s="248"/>
      <c r="JZK12" s="248"/>
      <c r="JZL12" s="248"/>
      <c r="JZM12" s="248"/>
      <c r="JZN12" s="248"/>
      <c r="JZO12" s="248"/>
      <c r="JZP12" s="248"/>
      <c r="JZQ12" s="248"/>
      <c r="JZR12" s="248"/>
      <c r="JZS12" s="248"/>
      <c r="JZT12" s="248"/>
      <c r="JZU12" s="248"/>
      <c r="JZV12" s="248"/>
      <c r="JZW12" s="248"/>
      <c r="JZX12" s="248"/>
      <c r="JZY12" s="248"/>
      <c r="JZZ12" s="248"/>
      <c r="KAA12" s="248"/>
      <c r="KAB12" s="248"/>
      <c r="KAC12" s="248"/>
      <c r="KAD12" s="248"/>
      <c r="KAE12" s="248"/>
      <c r="KAF12" s="248"/>
      <c r="KAG12" s="248"/>
      <c r="KAH12" s="248"/>
      <c r="KAI12" s="248"/>
      <c r="KAJ12" s="248"/>
      <c r="KAK12" s="248"/>
      <c r="KAL12" s="248"/>
      <c r="KAM12" s="248"/>
      <c r="KAN12" s="248"/>
      <c r="KAO12" s="248"/>
      <c r="KAP12" s="248"/>
      <c r="KAQ12" s="248"/>
      <c r="KAR12" s="248"/>
      <c r="KAS12" s="248"/>
      <c r="KAT12" s="248"/>
      <c r="KAU12" s="248"/>
      <c r="KAV12" s="248"/>
      <c r="KAW12" s="248"/>
      <c r="KAX12" s="248"/>
      <c r="KAY12" s="248"/>
      <c r="KAZ12" s="248"/>
      <c r="KBA12" s="248"/>
      <c r="KBB12" s="248"/>
      <c r="KBC12" s="248"/>
      <c r="KBD12" s="248"/>
      <c r="KBE12" s="248"/>
      <c r="KBF12" s="248"/>
      <c r="KBG12" s="248"/>
      <c r="KBH12" s="248"/>
      <c r="KBI12" s="248"/>
      <c r="KBJ12" s="248"/>
      <c r="KBK12" s="248"/>
      <c r="KBL12" s="248"/>
      <c r="KBM12" s="248"/>
      <c r="KBN12" s="248"/>
      <c r="KBO12" s="248"/>
      <c r="KBP12" s="248"/>
      <c r="KBQ12" s="248"/>
      <c r="KBR12" s="248"/>
      <c r="KBS12" s="248"/>
      <c r="KBT12" s="248"/>
      <c r="KBU12" s="248"/>
      <c r="KBV12" s="248"/>
      <c r="KBW12" s="248"/>
      <c r="KBX12" s="248"/>
      <c r="KBY12" s="248"/>
      <c r="KBZ12" s="248"/>
      <c r="KCA12" s="248"/>
      <c r="KCB12" s="248"/>
      <c r="KCC12" s="248"/>
      <c r="KCD12" s="248"/>
      <c r="KCE12" s="248"/>
      <c r="KCF12" s="248"/>
      <c r="KCG12" s="248"/>
      <c r="KCH12" s="248"/>
      <c r="KCI12" s="248"/>
      <c r="KCJ12" s="248"/>
      <c r="KCK12" s="248"/>
      <c r="KCL12" s="248"/>
      <c r="KCM12" s="248"/>
      <c r="KCN12" s="248"/>
      <c r="KCO12" s="248"/>
      <c r="KCP12" s="248"/>
      <c r="KCQ12" s="248"/>
      <c r="KCR12" s="248"/>
      <c r="KCS12" s="248"/>
      <c r="KCT12" s="248"/>
      <c r="KCU12" s="248"/>
      <c r="KCV12" s="248"/>
      <c r="KCW12" s="248"/>
      <c r="KCX12" s="248"/>
      <c r="KCY12" s="248"/>
      <c r="KCZ12" s="248"/>
      <c r="KDA12" s="248"/>
      <c r="KDB12" s="248"/>
      <c r="KDC12" s="248"/>
      <c r="KDD12" s="248"/>
      <c r="KDE12" s="248"/>
      <c r="KDF12" s="248"/>
      <c r="KDG12" s="248"/>
      <c r="KDH12" s="248"/>
      <c r="KDI12" s="248"/>
      <c r="KDJ12" s="248"/>
      <c r="KDK12" s="248"/>
      <c r="KDL12" s="248"/>
      <c r="KDM12" s="248"/>
      <c r="KDN12" s="248"/>
      <c r="KDO12" s="248"/>
      <c r="KDP12" s="248"/>
      <c r="KDQ12" s="248"/>
      <c r="KDR12" s="248"/>
      <c r="KDS12" s="248"/>
      <c r="KDT12" s="248"/>
      <c r="KDU12" s="248"/>
      <c r="KDV12" s="248"/>
      <c r="KDW12" s="248"/>
      <c r="KDX12" s="248"/>
      <c r="KDY12" s="248"/>
      <c r="KDZ12" s="248"/>
      <c r="KEA12" s="248"/>
      <c r="KEB12" s="248"/>
      <c r="KEC12" s="248"/>
      <c r="KED12" s="248"/>
      <c r="KEE12" s="248"/>
      <c r="KEF12" s="248"/>
      <c r="KEG12" s="248"/>
      <c r="KEH12" s="248"/>
      <c r="KEI12" s="248"/>
      <c r="KEJ12" s="248"/>
      <c r="KEK12" s="248"/>
      <c r="KEL12" s="248"/>
      <c r="KEM12" s="248"/>
      <c r="KEN12" s="248"/>
      <c r="KEO12" s="248"/>
      <c r="KEP12" s="248"/>
      <c r="KEQ12" s="248"/>
      <c r="KER12" s="248"/>
      <c r="KES12" s="248"/>
      <c r="KET12" s="248"/>
      <c r="KEU12" s="248"/>
      <c r="KEV12" s="248"/>
      <c r="KEW12" s="248"/>
      <c r="KEX12" s="248"/>
      <c r="KEY12" s="248"/>
      <c r="KEZ12" s="248"/>
      <c r="KFA12" s="248"/>
      <c r="KFB12" s="248"/>
      <c r="KFC12" s="248"/>
      <c r="KFD12" s="248"/>
      <c r="KFE12" s="248"/>
      <c r="KFF12" s="248"/>
      <c r="KFG12" s="248"/>
      <c r="KFH12" s="248"/>
      <c r="KFI12" s="248"/>
      <c r="KFJ12" s="248"/>
      <c r="KFK12" s="248"/>
      <c r="KFL12" s="248"/>
      <c r="KFM12" s="248"/>
      <c r="KFN12" s="248"/>
      <c r="KFO12" s="248"/>
      <c r="KFP12" s="248"/>
      <c r="KFQ12" s="248"/>
      <c r="KFR12" s="248"/>
      <c r="KFS12" s="248"/>
      <c r="KFT12" s="248"/>
      <c r="KFU12" s="248"/>
      <c r="KFV12" s="248"/>
      <c r="KFW12" s="248"/>
      <c r="KFX12" s="248"/>
      <c r="KFY12" s="248"/>
      <c r="KFZ12" s="248"/>
      <c r="KGA12" s="248"/>
      <c r="KGB12" s="248"/>
      <c r="KGC12" s="248"/>
      <c r="KGD12" s="248"/>
      <c r="KGE12" s="248"/>
      <c r="KGF12" s="248"/>
      <c r="KGG12" s="248"/>
      <c r="KGH12" s="248"/>
      <c r="KGI12" s="248"/>
      <c r="KGJ12" s="248"/>
      <c r="KGK12" s="248"/>
      <c r="KGL12" s="248"/>
      <c r="KGM12" s="248"/>
      <c r="KGN12" s="248"/>
      <c r="KGO12" s="248"/>
      <c r="KGP12" s="248"/>
      <c r="KGQ12" s="248"/>
      <c r="KGR12" s="248"/>
      <c r="KGS12" s="248"/>
      <c r="KGT12" s="248"/>
      <c r="KGU12" s="248"/>
      <c r="KGV12" s="248"/>
      <c r="KGW12" s="248"/>
      <c r="KGX12" s="248"/>
      <c r="KGY12" s="248"/>
      <c r="KGZ12" s="248"/>
      <c r="KHA12" s="248"/>
      <c r="KHB12" s="248"/>
      <c r="KHC12" s="248"/>
      <c r="KHD12" s="248"/>
      <c r="KHE12" s="248"/>
      <c r="KHF12" s="248"/>
      <c r="KHG12" s="248"/>
      <c r="KHH12" s="248"/>
      <c r="KHI12" s="248"/>
      <c r="KHJ12" s="248"/>
      <c r="KHK12" s="248"/>
      <c r="KHL12" s="248"/>
      <c r="KHM12" s="248"/>
      <c r="KHN12" s="248"/>
      <c r="KHO12" s="248"/>
      <c r="KHP12" s="248"/>
      <c r="KHQ12" s="248"/>
      <c r="KHR12" s="248"/>
      <c r="KHS12" s="248"/>
      <c r="KHT12" s="248"/>
      <c r="KHU12" s="248"/>
      <c r="KHV12" s="248"/>
      <c r="KHW12" s="248"/>
      <c r="KHX12" s="248"/>
      <c r="KHY12" s="248"/>
      <c r="KHZ12" s="248"/>
      <c r="KIA12" s="248"/>
      <c r="KIB12" s="248"/>
      <c r="KIC12" s="248"/>
      <c r="KID12" s="248"/>
      <c r="KIE12" s="248"/>
      <c r="KIF12" s="248"/>
      <c r="KIG12" s="248"/>
      <c r="KIH12" s="248"/>
      <c r="KII12" s="248"/>
      <c r="KIJ12" s="248"/>
      <c r="KIK12" s="248"/>
      <c r="KIL12" s="248"/>
      <c r="KIM12" s="248"/>
      <c r="KIN12" s="248"/>
      <c r="KIO12" s="248"/>
      <c r="KIP12" s="248"/>
      <c r="KIQ12" s="248"/>
      <c r="KIR12" s="248"/>
      <c r="KIS12" s="248"/>
      <c r="KIT12" s="248"/>
      <c r="KIU12" s="248"/>
      <c r="KIV12" s="248"/>
      <c r="KIW12" s="248"/>
      <c r="KIX12" s="248"/>
      <c r="KIY12" s="248"/>
      <c r="KIZ12" s="248"/>
      <c r="KJA12" s="248"/>
      <c r="KJB12" s="248"/>
      <c r="KJC12" s="248"/>
      <c r="KJD12" s="248"/>
      <c r="KJE12" s="248"/>
      <c r="KJF12" s="248"/>
      <c r="KJG12" s="248"/>
      <c r="KJH12" s="248"/>
      <c r="KJI12" s="248"/>
      <c r="KJJ12" s="248"/>
      <c r="KJK12" s="248"/>
      <c r="KJL12" s="248"/>
      <c r="KJM12" s="248"/>
      <c r="KJN12" s="248"/>
      <c r="KJO12" s="248"/>
      <c r="KJP12" s="248"/>
      <c r="KJQ12" s="248"/>
      <c r="KJR12" s="248"/>
      <c r="KJS12" s="248"/>
      <c r="KJT12" s="248"/>
      <c r="KJU12" s="248"/>
      <c r="KJV12" s="248"/>
      <c r="KJW12" s="248"/>
      <c r="KJX12" s="248"/>
      <c r="KJY12" s="248"/>
      <c r="KJZ12" s="248"/>
      <c r="KKA12" s="248"/>
      <c r="KKB12" s="248"/>
      <c r="KKC12" s="248"/>
      <c r="KKD12" s="248"/>
      <c r="KKE12" s="248"/>
      <c r="KKF12" s="248"/>
      <c r="KKG12" s="248"/>
      <c r="KKH12" s="248"/>
      <c r="KKI12" s="248"/>
      <c r="KKJ12" s="248"/>
      <c r="KKK12" s="248"/>
      <c r="KKL12" s="248"/>
      <c r="KKM12" s="248"/>
      <c r="KKN12" s="248"/>
      <c r="KKO12" s="248"/>
      <c r="KKP12" s="248"/>
      <c r="KKQ12" s="248"/>
      <c r="KKR12" s="248"/>
      <c r="KKS12" s="248"/>
      <c r="KKT12" s="248"/>
      <c r="KKU12" s="248"/>
      <c r="KKV12" s="248"/>
      <c r="KKW12" s="248"/>
      <c r="KKX12" s="248"/>
      <c r="KKY12" s="248"/>
      <c r="KKZ12" s="248"/>
      <c r="KLA12" s="248"/>
      <c r="KLB12" s="248"/>
      <c r="KLC12" s="248"/>
      <c r="KLD12" s="248"/>
      <c r="KLE12" s="248"/>
      <c r="KLF12" s="248"/>
      <c r="KLG12" s="248"/>
      <c r="KLH12" s="248"/>
      <c r="KLI12" s="248"/>
      <c r="KLJ12" s="248"/>
      <c r="KLK12" s="248"/>
      <c r="KLL12" s="248"/>
      <c r="KLM12" s="248"/>
      <c r="KLN12" s="248"/>
      <c r="KLO12" s="248"/>
      <c r="KLP12" s="248"/>
      <c r="KLQ12" s="248"/>
      <c r="KLR12" s="248"/>
      <c r="KLS12" s="248"/>
      <c r="KLT12" s="248"/>
      <c r="KLU12" s="248"/>
      <c r="KLV12" s="248"/>
      <c r="KLW12" s="248"/>
      <c r="KLX12" s="248"/>
      <c r="KLY12" s="248"/>
      <c r="KLZ12" s="248"/>
      <c r="KMA12" s="248"/>
      <c r="KMB12" s="248"/>
      <c r="KMC12" s="248"/>
      <c r="KMD12" s="248"/>
      <c r="KME12" s="248"/>
      <c r="KMF12" s="248"/>
      <c r="KMG12" s="248"/>
      <c r="KMH12" s="248"/>
      <c r="KMI12" s="248"/>
      <c r="KMJ12" s="248"/>
      <c r="KMK12" s="248"/>
      <c r="KML12" s="248"/>
      <c r="KMM12" s="248"/>
      <c r="KMN12" s="248"/>
      <c r="KMO12" s="248"/>
      <c r="KMP12" s="248"/>
      <c r="KMQ12" s="248"/>
      <c r="KMR12" s="248"/>
      <c r="KMS12" s="248"/>
      <c r="KMT12" s="248"/>
      <c r="KMU12" s="248"/>
      <c r="KMV12" s="248"/>
      <c r="KMW12" s="248"/>
      <c r="KMX12" s="248"/>
      <c r="KMY12" s="248"/>
      <c r="KMZ12" s="248"/>
      <c r="KNA12" s="248"/>
      <c r="KNB12" s="248"/>
      <c r="KNC12" s="248"/>
      <c r="KND12" s="248"/>
      <c r="KNE12" s="248"/>
      <c r="KNF12" s="248"/>
      <c r="KNG12" s="248"/>
      <c r="KNH12" s="248"/>
      <c r="KNI12" s="248"/>
      <c r="KNJ12" s="248"/>
      <c r="KNK12" s="248"/>
      <c r="KNL12" s="248"/>
      <c r="KNM12" s="248"/>
      <c r="KNN12" s="248"/>
      <c r="KNO12" s="248"/>
      <c r="KNP12" s="248"/>
      <c r="KNQ12" s="248"/>
      <c r="KNR12" s="248"/>
      <c r="KNS12" s="248"/>
      <c r="KNT12" s="248"/>
      <c r="KNU12" s="248"/>
      <c r="KNV12" s="248"/>
      <c r="KNW12" s="248"/>
      <c r="KNX12" s="248"/>
      <c r="KNY12" s="248"/>
      <c r="KNZ12" s="248"/>
      <c r="KOA12" s="248"/>
      <c r="KOB12" s="248"/>
      <c r="KOC12" s="248"/>
      <c r="KOD12" s="248"/>
      <c r="KOE12" s="248"/>
      <c r="KOF12" s="248"/>
      <c r="KOG12" s="248"/>
      <c r="KOH12" s="248"/>
      <c r="KOI12" s="248"/>
      <c r="KOJ12" s="248"/>
      <c r="KOK12" s="248"/>
      <c r="KOL12" s="248"/>
      <c r="KOM12" s="248"/>
      <c r="KON12" s="248"/>
      <c r="KOO12" s="248"/>
      <c r="KOP12" s="248"/>
      <c r="KOQ12" s="248"/>
      <c r="KOR12" s="248"/>
      <c r="KOS12" s="248"/>
      <c r="KOT12" s="248"/>
      <c r="KOU12" s="248"/>
      <c r="KOV12" s="248"/>
      <c r="KOW12" s="248"/>
      <c r="KOX12" s="248"/>
      <c r="KOY12" s="248"/>
      <c r="KOZ12" s="248"/>
      <c r="KPA12" s="248"/>
      <c r="KPB12" s="248"/>
      <c r="KPC12" s="248"/>
      <c r="KPD12" s="248"/>
      <c r="KPE12" s="248"/>
      <c r="KPF12" s="248"/>
      <c r="KPG12" s="248"/>
      <c r="KPH12" s="248"/>
      <c r="KPI12" s="248"/>
      <c r="KPJ12" s="248"/>
      <c r="KPK12" s="248"/>
      <c r="KPL12" s="248"/>
      <c r="KPM12" s="248"/>
      <c r="KPN12" s="248"/>
      <c r="KPO12" s="248"/>
      <c r="KPP12" s="248"/>
      <c r="KPQ12" s="248"/>
      <c r="KPR12" s="248"/>
      <c r="KPS12" s="248"/>
      <c r="KPT12" s="248"/>
      <c r="KPU12" s="248"/>
      <c r="KPV12" s="248"/>
      <c r="KPW12" s="248"/>
      <c r="KPX12" s="248"/>
      <c r="KPY12" s="248"/>
      <c r="KPZ12" s="248"/>
      <c r="KQA12" s="248"/>
      <c r="KQB12" s="248"/>
      <c r="KQC12" s="248"/>
      <c r="KQD12" s="248"/>
      <c r="KQE12" s="248"/>
      <c r="KQF12" s="248"/>
      <c r="KQG12" s="248"/>
      <c r="KQH12" s="248"/>
      <c r="KQI12" s="248"/>
      <c r="KQJ12" s="248"/>
      <c r="KQK12" s="248"/>
      <c r="KQL12" s="248"/>
      <c r="KQM12" s="248"/>
      <c r="KQN12" s="248"/>
      <c r="KQO12" s="248"/>
      <c r="KQP12" s="248"/>
      <c r="KQQ12" s="248"/>
      <c r="KQR12" s="248"/>
      <c r="KQS12" s="248"/>
      <c r="KQT12" s="248"/>
      <c r="KQU12" s="248"/>
      <c r="KQV12" s="248"/>
      <c r="KQW12" s="248"/>
      <c r="KQX12" s="248"/>
      <c r="KQY12" s="248"/>
      <c r="KQZ12" s="248"/>
      <c r="KRA12" s="248"/>
      <c r="KRB12" s="248"/>
      <c r="KRC12" s="248"/>
      <c r="KRD12" s="248"/>
      <c r="KRE12" s="248"/>
      <c r="KRF12" s="248"/>
      <c r="KRG12" s="248"/>
      <c r="KRH12" s="248"/>
      <c r="KRI12" s="248"/>
      <c r="KRJ12" s="248"/>
      <c r="KRK12" s="248"/>
      <c r="KRL12" s="248"/>
      <c r="KRM12" s="248"/>
      <c r="KRN12" s="248"/>
      <c r="KRO12" s="248"/>
      <c r="KRP12" s="248"/>
      <c r="KRQ12" s="248"/>
      <c r="KRR12" s="248"/>
      <c r="KRS12" s="248"/>
      <c r="KRT12" s="248"/>
      <c r="KRU12" s="248"/>
      <c r="KRV12" s="248"/>
      <c r="KRW12" s="248"/>
      <c r="KRX12" s="248"/>
      <c r="KRY12" s="248"/>
      <c r="KRZ12" s="248"/>
      <c r="KSA12" s="248"/>
      <c r="KSB12" s="248"/>
      <c r="KSC12" s="248"/>
      <c r="KSD12" s="248"/>
      <c r="KSE12" s="248"/>
      <c r="KSF12" s="248"/>
      <c r="KSG12" s="248"/>
      <c r="KSH12" s="248"/>
      <c r="KSI12" s="248"/>
      <c r="KSJ12" s="248"/>
      <c r="KSK12" s="248"/>
      <c r="KSL12" s="248"/>
      <c r="KSM12" s="248"/>
      <c r="KSN12" s="248"/>
      <c r="KSO12" s="248"/>
      <c r="KSP12" s="248"/>
      <c r="KSQ12" s="248"/>
      <c r="KSR12" s="248"/>
      <c r="KSS12" s="248"/>
      <c r="KST12" s="248"/>
      <c r="KSU12" s="248"/>
      <c r="KSV12" s="248"/>
      <c r="KSW12" s="248"/>
      <c r="KSX12" s="248"/>
      <c r="KSY12" s="248"/>
      <c r="KSZ12" s="248"/>
      <c r="KTA12" s="248"/>
      <c r="KTB12" s="248"/>
      <c r="KTC12" s="248"/>
      <c r="KTD12" s="248"/>
      <c r="KTE12" s="248"/>
      <c r="KTF12" s="248"/>
      <c r="KTG12" s="248"/>
      <c r="KTH12" s="248"/>
      <c r="KTI12" s="248"/>
      <c r="KTJ12" s="248"/>
      <c r="KTK12" s="248"/>
      <c r="KTL12" s="248"/>
      <c r="KTM12" s="248"/>
      <c r="KTN12" s="248"/>
      <c r="KTO12" s="248"/>
      <c r="KTP12" s="248"/>
      <c r="KTQ12" s="248"/>
      <c r="KTR12" s="248"/>
      <c r="KTS12" s="248"/>
      <c r="KTT12" s="248"/>
      <c r="KTU12" s="248"/>
      <c r="KTV12" s="248"/>
      <c r="KTW12" s="248"/>
      <c r="KTX12" s="248"/>
      <c r="KTY12" s="248"/>
      <c r="KTZ12" s="248"/>
      <c r="KUA12" s="248"/>
      <c r="KUB12" s="248"/>
      <c r="KUC12" s="248"/>
      <c r="KUD12" s="248"/>
      <c r="KUE12" s="248"/>
      <c r="KUF12" s="248"/>
      <c r="KUG12" s="248"/>
      <c r="KUH12" s="248"/>
      <c r="KUI12" s="248"/>
      <c r="KUJ12" s="248"/>
      <c r="KUK12" s="248"/>
      <c r="KUL12" s="248"/>
      <c r="KUM12" s="248"/>
      <c r="KUN12" s="248"/>
      <c r="KUO12" s="248"/>
      <c r="KUP12" s="248"/>
      <c r="KUQ12" s="248"/>
      <c r="KUR12" s="248"/>
      <c r="KUS12" s="248"/>
      <c r="KUT12" s="248"/>
      <c r="KUU12" s="248"/>
      <c r="KUV12" s="248"/>
      <c r="KUW12" s="248"/>
      <c r="KUX12" s="248"/>
      <c r="KUY12" s="248"/>
      <c r="KUZ12" s="248"/>
      <c r="KVA12" s="248"/>
      <c r="KVB12" s="248"/>
      <c r="KVC12" s="248"/>
      <c r="KVD12" s="248"/>
      <c r="KVE12" s="248"/>
      <c r="KVF12" s="248"/>
      <c r="KVG12" s="248"/>
      <c r="KVH12" s="248"/>
      <c r="KVI12" s="248"/>
      <c r="KVJ12" s="248"/>
      <c r="KVK12" s="248"/>
      <c r="KVL12" s="248"/>
      <c r="KVM12" s="248"/>
      <c r="KVN12" s="248"/>
      <c r="KVO12" s="248"/>
      <c r="KVP12" s="248"/>
      <c r="KVQ12" s="248"/>
      <c r="KVR12" s="248"/>
      <c r="KVS12" s="248"/>
      <c r="KVT12" s="248"/>
      <c r="KVU12" s="248"/>
      <c r="KVV12" s="248"/>
      <c r="KVW12" s="248"/>
      <c r="KVX12" s="248"/>
      <c r="KVY12" s="248"/>
      <c r="KVZ12" s="248"/>
      <c r="KWA12" s="248"/>
      <c r="KWB12" s="248"/>
      <c r="KWC12" s="248"/>
      <c r="KWD12" s="248"/>
      <c r="KWE12" s="248"/>
      <c r="KWF12" s="248"/>
      <c r="KWG12" s="248"/>
      <c r="KWH12" s="248"/>
      <c r="KWI12" s="248"/>
      <c r="KWJ12" s="248"/>
      <c r="KWK12" s="248"/>
      <c r="KWL12" s="248"/>
      <c r="KWM12" s="248"/>
      <c r="KWN12" s="248"/>
      <c r="KWO12" s="248"/>
      <c r="KWP12" s="248"/>
      <c r="KWQ12" s="248"/>
      <c r="KWR12" s="248"/>
      <c r="KWS12" s="248"/>
      <c r="KWT12" s="248"/>
      <c r="KWU12" s="248"/>
      <c r="KWV12" s="248"/>
      <c r="KWW12" s="248"/>
      <c r="KWX12" s="248"/>
      <c r="KWY12" s="248"/>
      <c r="KWZ12" s="248"/>
      <c r="KXA12" s="248"/>
      <c r="KXB12" s="248"/>
      <c r="KXC12" s="248"/>
      <c r="KXD12" s="248"/>
      <c r="KXE12" s="248"/>
      <c r="KXF12" s="248"/>
      <c r="KXG12" s="248"/>
      <c r="KXH12" s="248"/>
      <c r="KXI12" s="248"/>
      <c r="KXJ12" s="248"/>
      <c r="KXK12" s="248"/>
      <c r="KXL12" s="248"/>
      <c r="KXM12" s="248"/>
      <c r="KXN12" s="248"/>
      <c r="KXO12" s="248"/>
      <c r="KXP12" s="248"/>
      <c r="KXQ12" s="248"/>
      <c r="KXR12" s="248"/>
      <c r="KXS12" s="248"/>
      <c r="KXT12" s="248"/>
      <c r="KXU12" s="248"/>
      <c r="KXV12" s="248"/>
      <c r="KXW12" s="248"/>
      <c r="KXX12" s="248"/>
      <c r="KXY12" s="248"/>
      <c r="KXZ12" s="248"/>
      <c r="KYA12" s="248"/>
      <c r="KYB12" s="248"/>
      <c r="KYC12" s="248"/>
      <c r="KYD12" s="248"/>
      <c r="KYE12" s="248"/>
      <c r="KYF12" s="248"/>
      <c r="KYG12" s="248"/>
      <c r="KYH12" s="248"/>
      <c r="KYI12" s="248"/>
      <c r="KYJ12" s="248"/>
      <c r="KYK12" s="248"/>
      <c r="KYL12" s="248"/>
      <c r="KYM12" s="248"/>
      <c r="KYN12" s="248"/>
      <c r="KYO12" s="248"/>
      <c r="KYP12" s="248"/>
      <c r="KYQ12" s="248"/>
      <c r="KYR12" s="248"/>
      <c r="KYS12" s="248"/>
      <c r="KYT12" s="248"/>
      <c r="KYU12" s="248"/>
      <c r="KYV12" s="248"/>
      <c r="KYW12" s="248"/>
      <c r="KYX12" s="248"/>
      <c r="KYY12" s="248"/>
      <c r="KYZ12" s="248"/>
      <c r="KZA12" s="248"/>
      <c r="KZB12" s="248"/>
      <c r="KZC12" s="248"/>
      <c r="KZD12" s="248"/>
      <c r="KZE12" s="248"/>
      <c r="KZF12" s="248"/>
      <c r="KZG12" s="248"/>
      <c r="KZH12" s="248"/>
      <c r="KZI12" s="248"/>
      <c r="KZJ12" s="248"/>
      <c r="KZK12" s="248"/>
      <c r="KZL12" s="248"/>
      <c r="KZM12" s="248"/>
      <c r="KZN12" s="248"/>
      <c r="KZO12" s="248"/>
      <c r="KZP12" s="248"/>
      <c r="KZQ12" s="248"/>
      <c r="KZR12" s="248"/>
      <c r="KZS12" s="248"/>
      <c r="KZT12" s="248"/>
      <c r="KZU12" s="248"/>
      <c r="KZV12" s="248"/>
      <c r="KZW12" s="248"/>
      <c r="KZX12" s="248"/>
      <c r="KZY12" s="248"/>
      <c r="KZZ12" s="248"/>
      <c r="LAA12" s="248"/>
      <c r="LAB12" s="248"/>
      <c r="LAC12" s="248"/>
      <c r="LAD12" s="248"/>
      <c r="LAE12" s="248"/>
      <c r="LAF12" s="248"/>
      <c r="LAG12" s="248"/>
      <c r="LAH12" s="248"/>
      <c r="LAI12" s="248"/>
      <c r="LAJ12" s="248"/>
      <c r="LAK12" s="248"/>
      <c r="LAL12" s="248"/>
      <c r="LAM12" s="248"/>
      <c r="LAN12" s="248"/>
      <c r="LAO12" s="248"/>
      <c r="LAP12" s="248"/>
      <c r="LAQ12" s="248"/>
      <c r="LAR12" s="248"/>
      <c r="LAS12" s="248"/>
      <c r="LAT12" s="248"/>
      <c r="LAU12" s="248"/>
      <c r="LAV12" s="248"/>
      <c r="LAW12" s="248"/>
      <c r="LAX12" s="248"/>
      <c r="LAY12" s="248"/>
      <c r="LAZ12" s="248"/>
      <c r="LBA12" s="248"/>
      <c r="LBB12" s="248"/>
      <c r="LBC12" s="248"/>
      <c r="LBD12" s="248"/>
      <c r="LBE12" s="248"/>
      <c r="LBF12" s="248"/>
      <c r="LBG12" s="248"/>
      <c r="LBH12" s="248"/>
      <c r="LBI12" s="248"/>
      <c r="LBJ12" s="248"/>
      <c r="LBK12" s="248"/>
      <c r="LBL12" s="248"/>
      <c r="LBM12" s="248"/>
      <c r="LBN12" s="248"/>
      <c r="LBO12" s="248"/>
      <c r="LBP12" s="248"/>
      <c r="LBQ12" s="248"/>
      <c r="LBR12" s="248"/>
      <c r="LBS12" s="248"/>
      <c r="LBT12" s="248"/>
      <c r="LBU12" s="248"/>
      <c r="LBV12" s="248"/>
      <c r="LBW12" s="248"/>
      <c r="LBX12" s="248"/>
      <c r="LBY12" s="248"/>
      <c r="LBZ12" s="248"/>
      <c r="LCA12" s="248"/>
      <c r="LCB12" s="248"/>
      <c r="LCC12" s="248"/>
      <c r="LCD12" s="248"/>
      <c r="LCE12" s="248"/>
      <c r="LCF12" s="248"/>
      <c r="LCG12" s="248"/>
      <c r="LCH12" s="248"/>
      <c r="LCI12" s="248"/>
      <c r="LCJ12" s="248"/>
      <c r="LCK12" s="248"/>
      <c r="LCL12" s="248"/>
      <c r="LCM12" s="248"/>
      <c r="LCN12" s="248"/>
      <c r="LCO12" s="248"/>
      <c r="LCP12" s="248"/>
      <c r="LCQ12" s="248"/>
      <c r="LCR12" s="248"/>
      <c r="LCS12" s="248"/>
      <c r="LCT12" s="248"/>
      <c r="LCU12" s="248"/>
      <c r="LCV12" s="248"/>
      <c r="LCW12" s="248"/>
      <c r="LCX12" s="248"/>
      <c r="LCY12" s="248"/>
      <c r="LCZ12" s="248"/>
      <c r="LDA12" s="248"/>
      <c r="LDB12" s="248"/>
      <c r="LDC12" s="248"/>
      <c r="LDD12" s="248"/>
      <c r="LDE12" s="248"/>
      <c r="LDF12" s="248"/>
      <c r="LDG12" s="248"/>
      <c r="LDH12" s="248"/>
      <c r="LDI12" s="248"/>
      <c r="LDJ12" s="248"/>
      <c r="LDK12" s="248"/>
      <c r="LDL12" s="248"/>
      <c r="LDM12" s="248"/>
      <c r="LDN12" s="248"/>
      <c r="LDO12" s="248"/>
      <c r="LDP12" s="248"/>
      <c r="LDQ12" s="248"/>
      <c r="LDR12" s="248"/>
      <c r="LDS12" s="248"/>
      <c r="LDT12" s="248"/>
      <c r="LDU12" s="248"/>
      <c r="LDV12" s="248"/>
      <c r="LDW12" s="248"/>
      <c r="LDX12" s="248"/>
      <c r="LDY12" s="248"/>
      <c r="LDZ12" s="248"/>
      <c r="LEA12" s="248"/>
      <c r="LEB12" s="248"/>
      <c r="LEC12" s="248"/>
      <c r="LED12" s="248"/>
      <c r="LEE12" s="248"/>
      <c r="LEF12" s="248"/>
      <c r="LEG12" s="248"/>
      <c r="LEH12" s="248"/>
      <c r="LEI12" s="248"/>
      <c r="LEJ12" s="248"/>
      <c r="LEK12" s="248"/>
      <c r="LEL12" s="248"/>
      <c r="LEM12" s="248"/>
      <c r="LEN12" s="248"/>
      <c r="LEO12" s="248"/>
      <c r="LEP12" s="248"/>
      <c r="LEQ12" s="248"/>
      <c r="LER12" s="248"/>
      <c r="LES12" s="248"/>
      <c r="LET12" s="248"/>
      <c r="LEU12" s="248"/>
      <c r="LEV12" s="248"/>
      <c r="LEW12" s="248"/>
      <c r="LEX12" s="248"/>
      <c r="LEY12" s="248"/>
      <c r="LEZ12" s="248"/>
      <c r="LFA12" s="248"/>
      <c r="LFB12" s="248"/>
      <c r="LFC12" s="248"/>
      <c r="LFD12" s="248"/>
      <c r="LFE12" s="248"/>
      <c r="LFF12" s="248"/>
      <c r="LFG12" s="248"/>
      <c r="LFH12" s="248"/>
      <c r="LFI12" s="248"/>
      <c r="LFJ12" s="248"/>
      <c r="LFK12" s="248"/>
      <c r="LFL12" s="248"/>
      <c r="LFM12" s="248"/>
      <c r="LFN12" s="248"/>
      <c r="LFO12" s="248"/>
      <c r="LFP12" s="248"/>
      <c r="LFQ12" s="248"/>
      <c r="LFR12" s="248"/>
      <c r="LFS12" s="248"/>
      <c r="LFT12" s="248"/>
      <c r="LFU12" s="248"/>
      <c r="LFV12" s="248"/>
      <c r="LFW12" s="248"/>
      <c r="LFX12" s="248"/>
      <c r="LFY12" s="248"/>
      <c r="LFZ12" s="248"/>
      <c r="LGA12" s="248"/>
      <c r="LGB12" s="248"/>
      <c r="LGC12" s="248"/>
      <c r="LGD12" s="248"/>
      <c r="LGE12" s="248"/>
      <c r="LGF12" s="248"/>
      <c r="LGG12" s="248"/>
      <c r="LGH12" s="248"/>
      <c r="LGI12" s="248"/>
      <c r="LGJ12" s="248"/>
      <c r="LGK12" s="248"/>
      <c r="LGL12" s="248"/>
      <c r="LGM12" s="248"/>
      <c r="LGN12" s="248"/>
      <c r="LGO12" s="248"/>
      <c r="LGP12" s="248"/>
      <c r="LGQ12" s="248"/>
      <c r="LGR12" s="248"/>
      <c r="LGS12" s="248"/>
      <c r="LGT12" s="248"/>
      <c r="LGU12" s="248"/>
      <c r="LGV12" s="248"/>
      <c r="LGW12" s="248"/>
      <c r="LGX12" s="248"/>
      <c r="LGY12" s="248"/>
      <c r="LGZ12" s="248"/>
      <c r="LHA12" s="248"/>
      <c r="LHB12" s="248"/>
      <c r="LHC12" s="248"/>
      <c r="LHD12" s="248"/>
      <c r="LHE12" s="248"/>
      <c r="LHF12" s="248"/>
      <c r="LHG12" s="248"/>
      <c r="LHH12" s="248"/>
      <c r="LHI12" s="248"/>
      <c r="LHJ12" s="248"/>
      <c r="LHK12" s="248"/>
      <c r="LHL12" s="248"/>
      <c r="LHM12" s="248"/>
      <c r="LHN12" s="248"/>
      <c r="LHO12" s="248"/>
      <c r="LHP12" s="248"/>
      <c r="LHQ12" s="248"/>
      <c r="LHR12" s="248"/>
      <c r="LHS12" s="248"/>
      <c r="LHT12" s="248"/>
      <c r="LHU12" s="248"/>
      <c r="LHV12" s="248"/>
      <c r="LHW12" s="248"/>
      <c r="LHX12" s="248"/>
      <c r="LHY12" s="248"/>
      <c r="LHZ12" s="248"/>
      <c r="LIA12" s="248"/>
      <c r="LIB12" s="248"/>
      <c r="LIC12" s="248"/>
      <c r="LID12" s="248"/>
      <c r="LIE12" s="248"/>
      <c r="LIF12" s="248"/>
      <c r="LIG12" s="248"/>
      <c r="LIH12" s="248"/>
      <c r="LII12" s="248"/>
      <c r="LIJ12" s="248"/>
      <c r="LIK12" s="248"/>
      <c r="LIL12" s="248"/>
      <c r="LIM12" s="248"/>
      <c r="LIN12" s="248"/>
      <c r="LIO12" s="248"/>
      <c r="LIP12" s="248"/>
      <c r="LIQ12" s="248"/>
      <c r="LIR12" s="248"/>
      <c r="LIS12" s="248"/>
      <c r="LIT12" s="248"/>
      <c r="LIU12" s="248"/>
      <c r="LIV12" s="248"/>
      <c r="LIW12" s="248"/>
      <c r="LIX12" s="248"/>
      <c r="LIY12" s="248"/>
      <c r="LIZ12" s="248"/>
      <c r="LJA12" s="248"/>
      <c r="LJB12" s="248"/>
      <c r="LJC12" s="248"/>
      <c r="LJD12" s="248"/>
      <c r="LJE12" s="248"/>
      <c r="LJF12" s="248"/>
      <c r="LJG12" s="248"/>
      <c r="LJH12" s="248"/>
      <c r="LJI12" s="248"/>
      <c r="LJJ12" s="248"/>
      <c r="LJK12" s="248"/>
      <c r="LJL12" s="248"/>
      <c r="LJM12" s="248"/>
      <c r="LJN12" s="248"/>
      <c r="LJO12" s="248"/>
      <c r="LJP12" s="248"/>
      <c r="LJQ12" s="248"/>
      <c r="LJR12" s="248"/>
      <c r="LJS12" s="248"/>
      <c r="LJT12" s="248"/>
      <c r="LJU12" s="248"/>
      <c r="LJV12" s="248"/>
      <c r="LJW12" s="248"/>
      <c r="LJX12" s="248"/>
      <c r="LJY12" s="248"/>
      <c r="LJZ12" s="248"/>
      <c r="LKA12" s="248"/>
      <c r="LKB12" s="248"/>
      <c r="LKC12" s="248"/>
      <c r="LKD12" s="248"/>
      <c r="LKE12" s="248"/>
      <c r="LKF12" s="248"/>
      <c r="LKG12" s="248"/>
      <c r="LKH12" s="248"/>
      <c r="LKI12" s="248"/>
      <c r="LKJ12" s="248"/>
      <c r="LKK12" s="248"/>
      <c r="LKL12" s="248"/>
      <c r="LKM12" s="248"/>
      <c r="LKN12" s="248"/>
      <c r="LKO12" s="248"/>
      <c r="LKP12" s="248"/>
      <c r="LKQ12" s="248"/>
      <c r="LKR12" s="248"/>
      <c r="LKS12" s="248"/>
      <c r="LKT12" s="248"/>
      <c r="LKU12" s="248"/>
      <c r="LKV12" s="248"/>
      <c r="LKW12" s="248"/>
      <c r="LKX12" s="248"/>
      <c r="LKY12" s="248"/>
      <c r="LKZ12" s="248"/>
      <c r="LLA12" s="248"/>
      <c r="LLB12" s="248"/>
      <c r="LLC12" s="248"/>
      <c r="LLD12" s="248"/>
      <c r="LLE12" s="248"/>
      <c r="LLF12" s="248"/>
      <c r="LLG12" s="248"/>
      <c r="LLH12" s="248"/>
      <c r="LLI12" s="248"/>
      <c r="LLJ12" s="248"/>
      <c r="LLK12" s="248"/>
      <c r="LLL12" s="248"/>
      <c r="LLM12" s="248"/>
      <c r="LLN12" s="248"/>
      <c r="LLO12" s="248"/>
      <c r="LLP12" s="248"/>
      <c r="LLQ12" s="248"/>
      <c r="LLR12" s="248"/>
      <c r="LLS12" s="248"/>
      <c r="LLT12" s="248"/>
      <c r="LLU12" s="248"/>
      <c r="LLV12" s="248"/>
      <c r="LLW12" s="248"/>
      <c r="LLX12" s="248"/>
      <c r="LLY12" s="248"/>
      <c r="LLZ12" s="248"/>
      <c r="LMA12" s="248"/>
      <c r="LMB12" s="248"/>
      <c r="LMC12" s="248"/>
      <c r="LMD12" s="248"/>
      <c r="LME12" s="248"/>
      <c r="LMF12" s="248"/>
      <c r="LMG12" s="248"/>
      <c r="LMH12" s="248"/>
      <c r="LMI12" s="248"/>
      <c r="LMJ12" s="248"/>
      <c r="LMK12" s="248"/>
      <c r="LML12" s="248"/>
      <c r="LMM12" s="248"/>
      <c r="LMN12" s="248"/>
      <c r="LMO12" s="248"/>
      <c r="LMP12" s="248"/>
      <c r="LMQ12" s="248"/>
      <c r="LMR12" s="248"/>
      <c r="LMS12" s="248"/>
      <c r="LMT12" s="248"/>
      <c r="LMU12" s="248"/>
      <c r="LMV12" s="248"/>
      <c r="LMW12" s="248"/>
      <c r="LMX12" s="248"/>
      <c r="LMY12" s="248"/>
      <c r="LMZ12" s="248"/>
      <c r="LNA12" s="248"/>
      <c r="LNB12" s="248"/>
      <c r="LNC12" s="248"/>
      <c r="LND12" s="248"/>
      <c r="LNE12" s="248"/>
      <c r="LNF12" s="248"/>
      <c r="LNG12" s="248"/>
      <c r="LNH12" s="248"/>
      <c r="LNI12" s="248"/>
      <c r="LNJ12" s="248"/>
      <c r="LNK12" s="248"/>
      <c r="LNL12" s="248"/>
      <c r="LNM12" s="248"/>
      <c r="LNN12" s="248"/>
      <c r="LNO12" s="248"/>
      <c r="LNP12" s="248"/>
      <c r="LNQ12" s="248"/>
      <c r="LNR12" s="248"/>
      <c r="LNS12" s="248"/>
      <c r="LNT12" s="248"/>
      <c r="LNU12" s="248"/>
      <c r="LNV12" s="248"/>
      <c r="LNW12" s="248"/>
      <c r="LNX12" s="248"/>
      <c r="LNY12" s="248"/>
      <c r="LNZ12" s="248"/>
      <c r="LOA12" s="248"/>
      <c r="LOB12" s="248"/>
      <c r="LOC12" s="248"/>
      <c r="LOD12" s="248"/>
      <c r="LOE12" s="248"/>
      <c r="LOF12" s="248"/>
      <c r="LOG12" s="248"/>
      <c r="LOH12" s="248"/>
      <c r="LOI12" s="248"/>
      <c r="LOJ12" s="248"/>
      <c r="LOK12" s="248"/>
      <c r="LOL12" s="248"/>
      <c r="LOM12" s="248"/>
      <c r="LON12" s="248"/>
      <c r="LOO12" s="248"/>
      <c r="LOP12" s="248"/>
      <c r="LOQ12" s="248"/>
      <c r="LOR12" s="248"/>
      <c r="LOS12" s="248"/>
      <c r="LOT12" s="248"/>
      <c r="LOU12" s="248"/>
      <c r="LOV12" s="248"/>
      <c r="LOW12" s="248"/>
      <c r="LOX12" s="248"/>
      <c r="LOY12" s="248"/>
      <c r="LOZ12" s="248"/>
      <c r="LPA12" s="248"/>
      <c r="LPB12" s="248"/>
      <c r="LPC12" s="248"/>
      <c r="LPD12" s="248"/>
      <c r="LPE12" s="248"/>
      <c r="LPF12" s="248"/>
      <c r="LPG12" s="248"/>
      <c r="LPH12" s="248"/>
      <c r="LPI12" s="248"/>
      <c r="LPJ12" s="248"/>
      <c r="LPK12" s="248"/>
      <c r="LPL12" s="248"/>
      <c r="LPM12" s="248"/>
      <c r="LPN12" s="248"/>
      <c r="LPO12" s="248"/>
      <c r="LPP12" s="248"/>
      <c r="LPQ12" s="248"/>
      <c r="LPR12" s="248"/>
      <c r="LPS12" s="248"/>
      <c r="LPT12" s="248"/>
      <c r="LPU12" s="248"/>
      <c r="LPV12" s="248"/>
      <c r="LPW12" s="248"/>
      <c r="LPX12" s="248"/>
      <c r="LPY12" s="248"/>
      <c r="LPZ12" s="248"/>
      <c r="LQA12" s="248"/>
      <c r="LQB12" s="248"/>
      <c r="LQC12" s="248"/>
      <c r="LQD12" s="248"/>
      <c r="LQE12" s="248"/>
      <c r="LQF12" s="248"/>
      <c r="LQG12" s="248"/>
      <c r="LQH12" s="248"/>
      <c r="LQI12" s="248"/>
      <c r="LQJ12" s="248"/>
      <c r="LQK12" s="248"/>
      <c r="LQL12" s="248"/>
      <c r="LQM12" s="248"/>
      <c r="LQN12" s="248"/>
      <c r="LQO12" s="248"/>
      <c r="LQP12" s="248"/>
      <c r="LQQ12" s="248"/>
      <c r="LQR12" s="248"/>
      <c r="LQS12" s="248"/>
      <c r="LQT12" s="248"/>
      <c r="LQU12" s="248"/>
      <c r="LQV12" s="248"/>
      <c r="LQW12" s="248"/>
      <c r="LQX12" s="248"/>
      <c r="LQY12" s="248"/>
      <c r="LQZ12" s="248"/>
      <c r="LRA12" s="248"/>
      <c r="LRB12" s="248"/>
      <c r="LRC12" s="248"/>
      <c r="LRD12" s="248"/>
      <c r="LRE12" s="248"/>
      <c r="LRF12" s="248"/>
      <c r="LRG12" s="248"/>
      <c r="LRH12" s="248"/>
      <c r="LRI12" s="248"/>
      <c r="LRJ12" s="248"/>
      <c r="LRK12" s="248"/>
      <c r="LRL12" s="248"/>
      <c r="LRM12" s="248"/>
      <c r="LRN12" s="248"/>
      <c r="LRO12" s="248"/>
      <c r="LRP12" s="248"/>
      <c r="LRQ12" s="248"/>
      <c r="LRR12" s="248"/>
      <c r="LRS12" s="248"/>
      <c r="LRT12" s="248"/>
      <c r="LRU12" s="248"/>
      <c r="LRV12" s="248"/>
      <c r="LRW12" s="248"/>
      <c r="LRX12" s="248"/>
      <c r="LRY12" s="248"/>
      <c r="LRZ12" s="248"/>
      <c r="LSA12" s="248"/>
      <c r="LSB12" s="248"/>
      <c r="LSC12" s="248"/>
      <c r="LSD12" s="248"/>
      <c r="LSE12" s="248"/>
      <c r="LSF12" s="248"/>
      <c r="LSG12" s="248"/>
      <c r="LSH12" s="248"/>
      <c r="LSI12" s="248"/>
      <c r="LSJ12" s="248"/>
      <c r="LSK12" s="248"/>
      <c r="LSL12" s="248"/>
      <c r="LSM12" s="248"/>
      <c r="LSN12" s="248"/>
      <c r="LSO12" s="248"/>
      <c r="LSP12" s="248"/>
      <c r="LSQ12" s="248"/>
      <c r="LSR12" s="248"/>
      <c r="LSS12" s="248"/>
      <c r="LST12" s="248"/>
      <c r="LSU12" s="248"/>
      <c r="LSV12" s="248"/>
      <c r="LSW12" s="248"/>
      <c r="LSX12" s="248"/>
      <c r="LSY12" s="248"/>
      <c r="LSZ12" s="248"/>
      <c r="LTA12" s="248"/>
      <c r="LTB12" s="248"/>
      <c r="LTC12" s="248"/>
      <c r="LTD12" s="248"/>
      <c r="LTE12" s="248"/>
      <c r="LTF12" s="248"/>
      <c r="LTG12" s="248"/>
      <c r="LTH12" s="248"/>
      <c r="LTI12" s="248"/>
      <c r="LTJ12" s="248"/>
      <c r="LTK12" s="248"/>
      <c r="LTL12" s="248"/>
      <c r="LTM12" s="248"/>
      <c r="LTN12" s="248"/>
      <c r="LTO12" s="248"/>
      <c r="LTP12" s="248"/>
      <c r="LTQ12" s="248"/>
      <c r="LTR12" s="248"/>
      <c r="LTS12" s="248"/>
      <c r="LTT12" s="248"/>
      <c r="LTU12" s="248"/>
      <c r="LTV12" s="248"/>
      <c r="LTW12" s="248"/>
      <c r="LTX12" s="248"/>
      <c r="LTY12" s="248"/>
      <c r="LTZ12" s="248"/>
      <c r="LUA12" s="248"/>
      <c r="LUB12" s="248"/>
      <c r="LUC12" s="248"/>
      <c r="LUD12" s="248"/>
      <c r="LUE12" s="248"/>
      <c r="LUF12" s="248"/>
      <c r="LUG12" s="248"/>
      <c r="LUH12" s="248"/>
      <c r="LUI12" s="248"/>
      <c r="LUJ12" s="248"/>
      <c r="LUK12" s="248"/>
      <c r="LUL12" s="248"/>
      <c r="LUM12" s="248"/>
      <c r="LUN12" s="248"/>
      <c r="LUO12" s="248"/>
      <c r="LUP12" s="248"/>
      <c r="LUQ12" s="248"/>
      <c r="LUR12" s="248"/>
      <c r="LUS12" s="248"/>
      <c r="LUT12" s="248"/>
      <c r="LUU12" s="248"/>
      <c r="LUV12" s="248"/>
      <c r="LUW12" s="248"/>
      <c r="LUX12" s="248"/>
      <c r="LUY12" s="248"/>
      <c r="LUZ12" s="248"/>
      <c r="LVA12" s="248"/>
      <c r="LVB12" s="248"/>
      <c r="LVC12" s="248"/>
      <c r="LVD12" s="248"/>
      <c r="LVE12" s="248"/>
      <c r="LVF12" s="248"/>
      <c r="LVG12" s="248"/>
      <c r="LVH12" s="248"/>
      <c r="LVI12" s="248"/>
      <c r="LVJ12" s="248"/>
      <c r="LVK12" s="248"/>
      <c r="LVL12" s="248"/>
      <c r="LVM12" s="248"/>
      <c r="LVN12" s="248"/>
      <c r="LVO12" s="248"/>
      <c r="LVP12" s="248"/>
      <c r="LVQ12" s="248"/>
      <c r="LVR12" s="248"/>
      <c r="LVS12" s="248"/>
      <c r="LVT12" s="248"/>
      <c r="LVU12" s="248"/>
      <c r="LVV12" s="248"/>
      <c r="LVW12" s="248"/>
      <c r="LVX12" s="248"/>
      <c r="LVY12" s="248"/>
      <c r="LVZ12" s="248"/>
      <c r="LWA12" s="248"/>
      <c r="LWB12" s="248"/>
      <c r="LWC12" s="248"/>
      <c r="LWD12" s="248"/>
      <c r="LWE12" s="248"/>
      <c r="LWF12" s="248"/>
      <c r="LWG12" s="248"/>
      <c r="LWH12" s="248"/>
      <c r="LWI12" s="248"/>
      <c r="LWJ12" s="248"/>
      <c r="LWK12" s="248"/>
      <c r="LWL12" s="248"/>
      <c r="LWM12" s="248"/>
      <c r="LWN12" s="248"/>
      <c r="LWO12" s="248"/>
      <c r="LWP12" s="248"/>
      <c r="LWQ12" s="248"/>
      <c r="LWR12" s="248"/>
      <c r="LWS12" s="248"/>
      <c r="LWT12" s="248"/>
      <c r="LWU12" s="248"/>
      <c r="LWV12" s="248"/>
      <c r="LWW12" s="248"/>
      <c r="LWX12" s="248"/>
      <c r="LWY12" s="248"/>
      <c r="LWZ12" s="248"/>
      <c r="LXA12" s="248"/>
      <c r="LXB12" s="248"/>
      <c r="LXC12" s="248"/>
      <c r="LXD12" s="248"/>
      <c r="LXE12" s="248"/>
      <c r="LXF12" s="248"/>
      <c r="LXG12" s="248"/>
      <c r="LXH12" s="248"/>
      <c r="LXI12" s="248"/>
      <c r="LXJ12" s="248"/>
      <c r="LXK12" s="248"/>
      <c r="LXL12" s="248"/>
      <c r="LXM12" s="248"/>
      <c r="LXN12" s="248"/>
      <c r="LXO12" s="248"/>
      <c r="LXP12" s="248"/>
      <c r="LXQ12" s="248"/>
      <c r="LXR12" s="248"/>
      <c r="LXS12" s="248"/>
      <c r="LXT12" s="248"/>
      <c r="LXU12" s="248"/>
      <c r="LXV12" s="248"/>
      <c r="LXW12" s="248"/>
      <c r="LXX12" s="248"/>
      <c r="LXY12" s="248"/>
      <c r="LXZ12" s="248"/>
      <c r="LYA12" s="248"/>
      <c r="LYB12" s="248"/>
      <c r="LYC12" s="248"/>
      <c r="LYD12" s="248"/>
      <c r="LYE12" s="248"/>
      <c r="LYF12" s="248"/>
      <c r="LYG12" s="248"/>
      <c r="LYH12" s="248"/>
      <c r="LYI12" s="248"/>
      <c r="LYJ12" s="248"/>
      <c r="LYK12" s="248"/>
      <c r="LYL12" s="248"/>
      <c r="LYM12" s="248"/>
      <c r="LYN12" s="248"/>
      <c r="LYO12" s="248"/>
      <c r="LYP12" s="248"/>
      <c r="LYQ12" s="248"/>
      <c r="LYR12" s="248"/>
      <c r="LYS12" s="248"/>
      <c r="LYT12" s="248"/>
      <c r="LYU12" s="248"/>
      <c r="LYV12" s="248"/>
      <c r="LYW12" s="248"/>
      <c r="LYX12" s="248"/>
      <c r="LYY12" s="248"/>
      <c r="LYZ12" s="248"/>
      <c r="LZA12" s="248"/>
      <c r="LZB12" s="248"/>
      <c r="LZC12" s="248"/>
      <c r="LZD12" s="248"/>
      <c r="LZE12" s="248"/>
      <c r="LZF12" s="248"/>
      <c r="LZG12" s="248"/>
      <c r="LZH12" s="248"/>
      <c r="LZI12" s="248"/>
      <c r="LZJ12" s="248"/>
      <c r="LZK12" s="248"/>
      <c r="LZL12" s="248"/>
      <c r="LZM12" s="248"/>
      <c r="LZN12" s="248"/>
      <c r="LZO12" s="248"/>
      <c r="LZP12" s="248"/>
      <c r="LZQ12" s="248"/>
      <c r="LZR12" s="248"/>
      <c r="LZS12" s="248"/>
      <c r="LZT12" s="248"/>
      <c r="LZU12" s="248"/>
      <c r="LZV12" s="248"/>
      <c r="LZW12" s="248"/>
      <c r="LZX12" s="248"/>
      <c r="LZY12" s="248"/>
      <c r="LZZ12" s="248"/>
      <c r="MAA12" s="248"/>
      <c r="MAB12" s="248"/>
      <c r="MAC12" s="248"/>
      <c r="MAD12" s="248"/>
      <c r="MAE12" s="248"/>
      <c r="MAF12" s="248"/>
      <c r="MAG12" s="248"/>
      <c r="MAH12" s="248"/>
      <c r="MAI12" s="248"/>
      <c r="MAJ12" s="248"/>
      <c r="MAK12" s="248"/>
      <c r="MAL12" s="248"/>
      <c r="MAM12" s="248"/>
      <c r="MAN12" s="248"/>
      <c r="MAO12" s="248"/>
      <c r="MAP12" s="248"/>
      <c r="MAQ12" s="248"/>
      <c r="MAR12" s="248"/>
      <c r="MAS12" s="248"/>
      <c r="MAT12" s="248"/>
      <c r="MAU12" s="248"/>
      <c r="MAV12" s="248"/>
      <c r="MAW12" s="248"/>
      <c r="MAX12" s="248"/>
      <c r="MAY12" s="248"/>
      <c r="MAZ12" s="248"/>
      <c r="MBA12" s="248"/>
      <c r="MBB12" s="248"/>
      <c r="MBC12" s="248"/>
      <c r="MBD12" s="248"/>
      <c r="MBE12" s="248"/>
      <c r="MBF12" s="248"/>
      <c r="MBG12" s="248"/>
      <c r="MBH12" s="248"/>
      <c r="MBI12" s="248"/>
      <c r="MBJ12" s="248"/>
      <c r="MBK12" s="248"/>
      <c r="MBL12" s="248"/>
      <c r="MBM12" s="248"/>
      <c r="MBN12" s="248"/>
      <c r="MBO12" s="248"/>
      <c r="MBP12" s="248"/>
      <c r="MBQ12" s="248"/>
      <c r="MBR12" s="248"/>
      <c r="MBS12" s="248"/>
      <c r="MBT12" s="248"/>
      <c r="MBU12" s="248"/>
      <c r="MBV12" s="248"/>
      <c r="MBW12" s="248"/>
      <c r="MBX12" s="248"/>
      <c r="MBY12" s="248"/>
      <c r="MBZ12" s="248"/>
      <c r="MCA12" s="248"/>
      <c r="MCB12" s="248"/>
      <c r="MCC12" s="248"/>
      <c r="MCD12" s="248"/>
      <c r="MCE12" s="248"/>
      <c r="MCF12" s="248"/>
      <c r="MCG12" s="248"/>
      <c r="MCH12" s="248"/>
      <c r="MCI12" s="248"/>
      <c r="MCJ12" s="248"/>
      <c r="MCK12" s="248"/>
      <c r="MCL12" s="248"/>
      <c r="MCM12" s="248"/>
      <c r="MCN12" s="248"/>
      <c r="MCO12" s="248"/>
      <c r="MCP12" s="248"/>
      <c r="MCQ12" s="248"/>
      <c r="MCR12" s="248"/>
      <c r="MCS12" s="248"/>
      <c r="MCT12" s="248"/>
      <c r="MCU12" s="248"/>
      <c r="MCV12" s="248"/>
      <c r="MCW12" s="248"/>
      <c r="MCX12" s="248"/>
      <c r="MCY12" s="248"/>
      <c r="MCZ12" s="248"/>
      <c r="MDA12" s="248"/>
      <c r="MDB12" s="248"/>
      <c r="MDC12" s="248"/>
      <c r="MDD12" s="248"/>
      <c r="MDE12" s="248"/>
      <c r="MDF12" s="248"/>
      <c r="MDG12" s="248"/>
      <c r="MDH12" s="248"/>
      <c r="MDI12" s="248"/>
      <c r="MDJ12" s="248"/>
      <c r="MDK12" s="248"/>
      <c r="MDL12" s="248"/>
      <c r="MDM12" s="248"/>
      <c r="MDN12" s="248"/>
      <c r="MDO12" s="248"/>
      <c r="MDP12" s="248"/>
      <c r="MDQ12" s="248"/>
      <c r="MDR12" s="248"/>
      <c r="MDS12" s="248"/>
      <c r="MDT12" s="248"/>
      <c r="MDU12" s="248"/>
      <c r="MDV12" s="248"/>
      <c r="MDW12" s="248"/>
      <c r="MDX12" s="248"/>
      <c r="MDY12" s="248"/>
      <c r="MDZ12" s="248"/>
      <c r="MEA12" s="248"/>
      <c r="MEB12" s="248"/>
      <c r="MEC12" s="248"/>
      <c r="MED12" s="248"/>
      <c r="MEE12" s="248"/>
      <c r="MEF12" s="248"/>
      <c r="MEG12" s="248"/>
      <c r="MEH12" s="248"/>
      <c r="MEI12" s="248"/>
      <c r="MEJ12" s="248"/>
      <c r="MEK12" s="248"/>
      <c r="MEL12" s="248"/>
      <c r="MEM12" s="248"/>
      <c r="MEN12" s="248"/>
      <c r="MEO12" s="248"/>
      <c r="MEP12" s="248"/>
      <c r="MEQ12" s="248"/>
      <c r="MER12" s="248"/>
      <c r="MES12" s="248"/>
      <c r="MET12" s="248"/>
      <c r="MEU12" s="248"/>
      <c r="MEV12" s="248"/>
      <c r="MEW12" s="248"/>
      <c r="MEX12" s="248"/>
      <c r="MEY12" s="248"/>
      <c r="MEZ12" s="248"/>
      <c r="MFA12" s="248"/>
      <c r="MFB12" s="248"/>
      <c r="MFC12" s="248"/>
      <c r="MFD12" s="248"/>
      <c r="MFE12" s="248"/>
      <c r="MFF12" s="248"/>
      <c r="MFG12" s="248"/>
      <c r="MFH12" s="248"/>
      <c r="MFI12" s="248"/>
      <c r="MFJ12" s="248"/>
      <c r="MFK12" s="248"/>
      <c r="MFL12" s="248"/>
      <c r="MFM12" s="248"/>
      <c r="MFN12" s="248"/>
      <c r="MFO12" s="248"/>
      <c r="MFP12" s="248"/>
      <c r="MFQ12" s="248"/>
      <c r="MFR12" s="248"/>
      <c r="MFS12" s="248"/>
      <c r="MFT12" s="248"/>
      <c r="MFU12" s="248"/>
      <c r="MFV12" s="248"/>
      <c r="MFW12" s="248"/>
      <c r="MFX12" s="248"/>
      <c r="MFY12" s="248"/>
      <c r="MFZ12" s="248"/>
      <c r="MGA12" s="248"/>
      <c r="MGB12" s="248"/>
      <c r="MGC12" s="248"/>
      <c r="MGD12" s="248"/>
      <c r="MGE12" s="248"/>
      <c r="MGF12" s="248"/>
      <c r="MGG12" s="248"/>
      <c r="MGH12" s="248"/>
      <c r="MGI12" s="248"/>
      <c r="MGJ12" s="248"/>
      <c r="MGK12" s="248"/>
      <c r="MGL12" s="248"/>
      <c r="MGM12" s="248"/>
      <c r="MGN12" s="248"/>
      <c r="MGO12" s="248"/>
      <c r="MGP12" s="248"/>
      <c r="MGQ12" s="248"/>
      <c r="MGR12" s="248"/>
      <c r="MGS12" s="248"/>
      <c r="MGT12" s="248"/>
      <c r="MGU12" s="248"/>
      <c r="MGV12" s="248"/>
      <c r="MGW12" s="248"/>
      <c r="MGX12" s="248"/>
      <c r="MGY12" s="248"/>
      <c r="MGZ12" s="248"/>
      <c r="MHA12" s="248"/>
      <c r="MHB12" s="248"/>
      <c r="MHC12" s="248"/>
      <c r="MHD12" s="248"/>
      <c r="MHE12" s="248"/>
      <c r="MHF12" s="248"/>
      <c r="MHG12" s="248"/>
      <c r="MHH12" s="248"/>
      <c r="MHI12" s="248"/>
      <c r="MHJ12" s="248"/>
      <c r="MHK12" s="248"/>
      <c r="MHL12" s="248"/>
      <c r="MHM12" s="248"/>
      <c r="MHN12" s="248"/>
      <c r="MHO12" s="248"/>
      <c r="MHP12" s="248"/>
      <c r="MHQ12" s="248"/>
      <c r="MHR12" s="248"/>
      <c r="MHS12" s="248"/>
      <c r="MHT12" s="248"/>
      <c r="MHU12" s="248"/>
      <c r="MHV12" s="248"/>
      <c r="MHW12" s="248"/>
      <c r="MHX12" s="248"/>
      <c r="MHY12" s="248"/>
      <c r="MHZ12" s="248"/>
      <c r="MIA12" s="248"/>
      <c r="MIB12" s="248"/>
      <c r="MIC12" s="248"/>
      <c r="MID12" s="248"/>
      <c r="MIE12" s="248"/>
      <c r="MIF12" s="248"/>
      <c r="MIG12" s="248"/>
      <c r="MIH12" s="248"/>
      <c r="MII12" s="248"/>
      <c r="MIJ12" s="248"/>
      <c r="MIK12" s="248"/>
      <c r="MIL12" s="248"/>
      <c r="MIM12" s="248"/>
      <c r="MIN12" s="248"/>
      <c r="MIO12" s="248"/>
      <c r="MIP12" s="248"/>
      <c r="MIQ12" s="248"/>
      <c r="MIR12" s="248"/>
      <c r="MIS12" s="248"/>
      <c r="MIT12" s="248"/>
      <c r="MIU12" s="248"/>
      <c r="MIV12" s="248"/>
      <c r="MIW12" s="248"/>
      <c r="MIX12" s="248"/>
      <c r="MIY12" s="248"/>
      <c r="MIZ12" s="248"/>
      <c r="MJA12" s="248"/>
      <c r="MJB12" s="248"/>
      <c r="MJC12" s="248"/>
      <c r="MJD12" s="248"/>
      <c r="MJE12" s="248"/>
      <c r="MJF12" s="248"/>
      <c r="MJG12" s="248"/>
      <c r="MJH12" s="248"/>
      <c r="MJI12" s="248"/>
      <c r="MJJ12" s="248"/>
      <c r="MJK12" s="248"/>
      <c r="MJL12" s="248"/>
      <c r="MJM12" s="248"/>
      <c r="MJN12" s="248"/>
      <c r="MJO12" s="248"/>
      <c r="MJP12" s="248"/>
      <c r="MJQ12" s="248"/>
      <c r="MJR12" s="248"/>
      <c r="MJS12" s="248"/>
      <c r="MJT12" s="248"/>
      <c r="MJU12" s="248"/>
      <c r="MJV12" s="248"/>
      <c r="MJW12" s="248"/>
      <c r="MJX12" s="248"/>
      <c r="MJY12" s="248"/>
      <c r="MJZ12" s="248"/>
      <c r="MKA12" s="248"/>
      <c r="MKB12" s="248"/>
      <c r="MKC12" s="248"/>
      <c r="MKD12" s="248"/>
      <c r="MKE12" s="248"/>
      <c r="MKF12" s="248"/>
      <c r="MKG12" s="248"/>
      <c r="MKH12" s="248"/>
      <c r="MKI12" s="248"/>
      <c r="MKJ12" s="248"/>
      <c r="MKK12" s="248"/>
      <c r="MKL12" s="248"/>
      <c r="MKM12" s="248"/>
      <c r="MKN12" s="248"/>
      <c r="MKO12" s="248"/>
      <c r="MKP12" s="248"/>
      <c r="MKQ12" s="248"/>
      <c r="MKR12" s="248"/>
      <c r="MKS12" s="248"/>
      <c r="MKT12" s="248"/>
      <c r="MKU12" s="248"/>
      <c r="MKV12" s="248"/>
      <c r="MKW12" s="248"/>
      <c r="MKX12" s="248"/>
      <c r="MKY12" s="248"/>
      <c r="MKZ12" s="248"/>
      <c r="MLA12" s="248"/>
      <c r="MLB12" s="248"/>
      <c r="MLC12" s="248"/>
      <c r="MLD12" s="248"/>
      <c r="MLE12" s="248"/>
      <c r="MLF12" s="248"/>
      <c r="MLG12" s="248"/>
      <c r="MLH12" s="248"/>
      <c r="MLI12" s="248"/>
      <c r="MLJ12" s="248"/>
      <c r="MLK12" s="248"/>
      <c r="MLL12" s="248"/>
      <c r="MLM12" s="248"/>
      <c r="MLN12" s="248"/>
      <c r="MLO12" s="248"/>
      <c r="MLP12" s="248"/>
      <c r="MLQ12" s="248"/>
      <c r="MLR12" s="248"/>
      <c r="MLS12" s="248"/>
      <c r="MLT12" s="248"/>
      <c r="MLU12" s="248"/>
      <c r="MLV12" s="248"/>
      <c r="MLW12" s="248"/>
      <c r="MLX12" s="248"/>
      <c r="MLY12" s="248"/>
      <c r="MLZ12" s="248"/>
      <c r="MMA12" s="248"/>
      <c r="MMB12" s="248"/>
      <c r="MMC12" s="248"/>
      <c r="MMD12" s="248"/>
      <c r="MME12" s="248"/>
      <c r="MMF12" s="248"/>
      <c r="MMG12" s="248"/>
      <c r="MMH12" s="248"/>
      <c r="MMI12" s="248"/>
      <c r="MMJ12" s="248"/>
      <c r="MMK12" s="248"/>
      <c r="MML12" s="248"/>
      <c r="MMM12" s="248"/>
      <c r="MMN12" s="248"/>
      <c r="MMO12" s="248"/>
      <c r="MMP12" s="248"/>
      <c r="MMQ12" s="248"/>
      <c r="MMR12" s="248"/>
      <c r="MMS12" s="248"/>
      <c r="MMT12" s="248"/>
      <c r="MMU12" s="248"/>
      <c r="MMV12" s="248"/>
      <c r="MMW12" s="248"/>
      <c r="MMX12" s="248"/>
      <c r="MMY12" s="248"/>
      <c r="MMZ12" s="248"/>
      <c r="MNA12" s="248"/>
      <c r="MNB12" s="248"/>
      <c r="MNC12" s="248"/>
      <c r="MND12" s="248"/>
      <c r="MNE12" s="248"/>
      <c r="MNF12" s="248"/>
      <c r="MNG12" s="248"/>
      <c r="MNH12" s="248"/>
      <c r="MNI12" s="248"/>
      <c r="MNJ12" s="248"/>
      <c r="MNK12" s="248"/>
      <c r="MNL12" s="248"/>
      <c r="MNM12" s="248"/>
      <c r="MNN12" s="248"/>
      <c r="MNO12" s="248"/>
      <c r="MNP12" s="248"/>
      <c r="MNQ12" s="248"/>
      <c r="MNR12" s="248"/>
      <c r="MNS12" s="248"/>
      <c r="MNT12" s="248"/>
      <c r="MNU12" s="248"/>
      <c r="MNV12" s="248"/>
      <c r="MNW12" s="248"/>
      <c r="MNX12" s="248"/>
      <c r="MNY12" s="248"/>
      <c r="MNZ12" s="248"/>
      <c r="MOA12" s="248"/>
      <c r="MOB12" s="248"/>
      <c r="MOC12" s="248"/>
      <c r="MOD12" s="248"/>
      <c r="MOE12" s="248"/>
      <c r="MOF12" s="248"/>
      <c r="MOG12" s="248"/>
      <c r="MOH12" s="248"/>
      <c r="MOI12" s="248"/>
      <c r="MOJ12" s="248"/>
      <c r="MOK12" s="248"/>
      <c r="MOL12" s="248"/>
      <c r="MOM12" s="248"/>
      <c r="MON12" s="248"/>
      <c r="MOO12" s="248"/>
      <c r="MOP12" s="248"/>
      <c r="MOQ12" s="248"/>
      <c r="MOR12" s="248"/>
      <c r="MOS12" s="248"/>
      <c r="MOT12" s="248"/>
      <c r="MOU12" s="248"/>
      <c r="MOV12" s="248"/>
      <c r="MOW12" s="248"/>
      <c r="MOX12" s="248"/>
      <c r="MOY12" s="248"/>
      <c r="MOZ12" s="248"/>
      <c r="MPA12" s="248"/>
      <c r="MPB12" s="248"/>
      <c r="MPC12" s="248"/>
      <c r="MPD12" s="248"/>
      <c r="MPE12" s="248"/>
      <c r="MPF12" s="248"/>
      <c r="MPG12" s="248"/>
      <c r="MPH12" s="248"/>
      <c r="MPI12" s="248"/>
      <c r="MPJ12" s="248"/>
      <c r="MPK12" s="248"/>
      <c r="MPL12" s="248"/>
      <c r="MPM12" s="248"/>
      <c r="MPN12" s="248"/>
      <c r="MPO12" s="248"/>
      <c r="MPP12" s="248"/>
      <c r="MPQ12" s="248"/>
      <c r="MPR12" s="248"/>
      <c r="MPS12" s="248"/>
      <c r="MPT12" s="248"/>
      <c r="MPU12" s="248"/>
      <c r="MPV12" s="248"/>
      <c r="MPW12" s="248"/>
      <c r="MPX12" s="248"/>
      <c r="MPY12" s="248"/>
      <c r="MPZ12" s="248"/>
      <c r="MQA12" s="248"/>
      <c r="MQB12" s="248"/>
      <c r="MQC12" s="248"/>
      <c r="MQD12" s="248"/>
      <c r="MQE12" s="248"/>
      <c r="MQF12" s="248"/>
      <c r="MQG12" s="248"/>
      <c r="MQH12" s="248"/>
      <c r="MQI12" s="248"/>
      <c r="MQJ12" s="248"/>
      <c r="MQK12" s="248"/>
      <c r="MQL12" s="248"/>
      <c r="MQM12" s="248"/>
      <c r="MQN12" s="248"/>
      <c r="MQO12" s="248"/>
      <c r="MQP12" s="248"/>
      <c r="MQQ12" s="248"/>
      <c r="MQR12" s="248"/>
      <c r="MQS12" s="248"/>
      <c r="MQT12" s="248"/>
      <c r="MQU12" s="248"/>
      <c r="MQV12" s="248"/>
      <c r="MQW12" s="248"/>
      <c r="MQX12" s="248"/>
      <c r="MQY12" s="248"/>
      <c r="MQZ12" s="248"/>
      <c r="MRA12" s="248"/>
      <c r="MRB12" s="248"/>
      <c r="MRC12" s="248"/>
      <c r="MRD12" s="248"/>
      <c r="MRE12" s="248"/>
      <c r="MRF12" s="248"/>
      <c r="MRG12" s="248"/>
      <c r="MRH12" s="248"/>
      <c r="MRI12" s="248"/>
      <c r="MRJ12" s="248"/>
      <c r="MRK12" s="248"/>
      <c r="MRL12" s="248"/>
      <c r="MRM12" s="248"/>
      <c r="MRN12" s="248"/>
      <c r="MRO12" s="248"/>
      <c r="MRP12" s="248"/>
      <c r="MRQ12" s="248"/>
      <c r="MRR12" s="248"/>
      <c r="MRS12" s="248"/>
      <c r="MRT12" s="248"/>
      <c r="MRU12" s="248"/>
      <c r="MRV12" s="248"/>
      <c r="MRW12" s="248"/>
      <c r="MRX12" s="248"/>
      <c r="MRY12" s="248"/>
      <c r="MRZ12" s="248"/>
      <c r="MSA12" s="248"/>
      <c r="MSB12" s="248"/>
      <c r="MSC12" s="248"/>
      <c r="MSD12" s="248"/>
      <c r="MSE12" s="248"/>
      <c r="MSF12" s="248"/>
      <c r="MSG12" s="248"/>
      <c r="MSH12" s="248"/>
      <c r="MSI12" s="248"/>
      <c r="MSJ12" s="248"/>
      <c r="MSK12" s="248"/>
      <c r="MSL12" s="248"/>
      <c r="MSM12" s="248"/>
      <c r="MSN12" s="248"/>
      <c r="MSO12" s="248"/>
      <c r="MSP12" s="248"/>
      <c r="MSQ12" s="248"/>
      <c r="MSR12" s="248"/>
      <c r="MSS12" s="248"/>
      <c r="MST12" s="248"/>
      <c r="MSU12" s="248"/>
      <c r="MSV12" s="248"/>
      <c r="MSW12" s="248"/>
      <c r="MSX12" s="248"/>
      <c r="MSY12" s="248"/>
      <c r="MSZ12" s="248"/>
      <c r="MTA12" s="248"/>
      <c r="MTB12" s="248"/>
      <c r="MTC12" s="248"/>
      <c r="MTD12" s="248"/>
      <c r="MTE12" s="248"/>
      <c r="MTF12" s="248"/>
      <c r="MTG12" s="248"/>
      <c r="MTH12" s="248"/>
      <c r="MTI12" s="248"/>
      <c r="MTJ12" s="248"/>
      <c r="MTK12" s="248"/>
      <c r="MTL12" s="248"/>
      <c r="MTM12" s="248"/>
      <c r="MTN12" s="248"/>
      <c r="MTO12" s="248"/>
      <c r="MTP12" s="248"/>
      <c r="MTQ12" s="248"/>
      <c r="MTR12" s="248"/>
      <c r="MTS12" s="248"/>
      <c r="MTT12" s="248"/>
      <c r="MTU12" s="248"/>
      <c r="MTV12" s="248"/>
      <c r="MTW12" s="248"/>
      <c r="MTX12" s="248"/>
      <c r="MTY12" s="248"/>
      <c r="MTZ12" s="248"/>
      <c r="MUA12" s="248"/>
      <c r="MUB12" s="248"/>
      <c r="MUC12" s="248"/>
      <c r="MUD12" s="248"/>
      <c r="MUE12" s="248"/>
      <c r="MUF12" s="248"/>
      <c r="MUG12" s="248"/>
      <c r="MUH12" s="248"/>
      <c r="MUI12" s="248"/>
      <c r="MUJ12" s="248"/>
      <c r="MUK12" s="248"/>
      <c r="MUL12" s="248"/>
      <c r="MUM12" s="248"/>
      <c r="MUN12" s="248"/>
      <c r="MUO12" s="248"/>
      <c r="MUP12" s="248"/>
      <c r="MUQ12" s="248"/>
      <c r="MUR12" s="248"/>
      <c r="MUS12" s="248"/>
      <c r="MUT12" s="248"/>
      <c r="MUU12" s="248"/>
      <c r="MUV12" s="248"/>
      <c r="MUW12" s="248"/>
      <c r="MUX12" s="248"/>
      <c r="MUY12" s="248"/>
      <c r="MUZ12" s="248"/>
      <c r="MVA12" s="248"/>
      <c r="MVB12" s="248"/>
      <c r="MVC12" s="248"/>
      <c r="MVD12" s="248"/>
      <c r="MVE12" s="248"/>
      <c r="MVF12" s="248"/>
      <c r="MVG12" s="248"/>
      <c r="MVH12" s="248"/>
      <c r="MVI12" s="248"/>
      <c r="MVJ12" s="248"/>
      <c r="MVK12" s="248"/>
      <c r="MVL12" s="248"/>
      <c r="MVM12" s="248"/>
      <c r="MVN12" s="248"/>
      <c r="MVO12" s="248"/>
      <c r="MVP12" s="248"/>
      <c r="MVQ12" s="248"/>
      <c r="MVR12" s="248"/>
      <c r="MVS12" s="248"/>
      <c r="MVT12" s="248"/>
      <c r="MVU12" s="248"/>
      <c r="MVV12" s="248"/>
      <c r="MVW12" s="248"/>
      <c r="MVX12" s="248"/>
      <c r="MVY12" s="248"/>
      <c r="MVZ12" s="248"/>
      <c r="MWA12" s="248"/>
      <c r="MWB12" s="248"/>
      <c r="MWC12" s="248"/>
      <c r="MWD12" s="248"/>
      <c r="MWE12" s="248"/>
      <c r="MWF12" s="248"/>
      <c r="MWG12" s="248"/>
      <c r="MWH12" s="248"/>
      <c r="MWI12" s="248"/>
      <c r="MWJ12" s="248"/>
      <c r="MWK12" s="248"/>
      <c r="MWL12" s="248"/>
      <c r="MWM12" s="248"/>
      <c r="MWN12" s="248"/>
      <c r="MWO12" s="248"/>
      <c r="MWP12" s="248"/>
      <c r="MWQ12" s="248"/>
      <c r="MWR12" s="248"/>
      <c r="MWS12" s="248"/>
      <c r="MWT12" s="248"/>
      <c r="MWU12" s="248"/>
      <c r="MWV12" s="248"/>
      <c r="MWW12" s="248"/>
      <c r="MWX12" s="248"/>
      <c r="MWY12" s="248"/>
      <c r="MWZ12" s="248"/>
      <c r="MXA12" s="248"/>
      <c r="MXB12" s="248"/>
      <c r="MXC12" s="248"/>
      <c r="MXD12" s="248"/>
      <c r="MXE12" s="248"/>
      <c r="MXF12" s="248"/>
      <c r="MXG12" s="248"/>
      <c r="MXH12" s="248"/>
      <c r="MXI12" s="248"/>
      <c r="MXJ12" s="248"/>
      <c r="MXK12" s="248"/>
      <c r="MXL12" s="248"/>
      <c r="MXM12" s="248"/>
      <c r="MXN12" s="248"/>
      <c r="MXO12" s="248"/>
      <c r="MXP12" s="248"/>
      <c r="MXQ12" s="248"/>
      <c r="MXR12" s="248"/>
      <c r="MXS12" s="248"/>
      <c r="MXT12" s="248"/>
      <c r="MXU12" s="248"/>
      <c r="MXV12" s="248"/>
      <c r="MXW12" s="248"/>
      <c r="MXX12" s="248"/>
      <c r="MXY12" s="248"/>
      <c r="MXZ12" s="248"/>
      <c r="MYA12" s="248"/>
      <c r="MYB12" s="248"/>
      <c r="MYC12" s="248"/>
      <c r="MYD12" s="248"/>
      <c r="MYE12" s="248"/>
      <c r="MYF12" s="248"/>
      <c r="MYG12" s="248"/>
      <c r="MYH12" s="248"/>
      <c r="MYI12" s="248"/>
      <c r="MYJ12" s="248"/>
      <c r="MYK12" s="248"/>
      <c r="MYL12" s="248"/>
      <c r="MYM12" s="248"/>
      <c r="MYN12" s="248"/>
      <c r="MYO12" s="248"/>
      <c r="MYP12" s="248"/>
      <c r="MYQ12" s="248"/>
      <c r="MYR12" s="248"/>
      <c r="MYS12" s="248"/>
      <c r="MYT12" s="248"/>
      <c r="MYU12" s="248"/>
      <c r="MYV12" s="248"/>
      <c r="MYW12" s="248"/>
      <c r="MYX12" s="248"/>
      <c r="MYY12" s="248"/>
      <c r="MYZ12" s="248"/>
      <c r="MZA12" s="248"/>
      <c r="MZB12" s="248"/>
      <c r="MZC12" s="248"/>
      <c r="MZD12" s="248"/>
      <c r="MZE12" s="248"/>
      <c r="MZF12" s="248"/>
      <c r="MZG12" s="248"/>
      <c r="MZH12" s="248"/>
      <c r="MZI12" s="248"/>
      <c r="MZJ12" s="248"/>
      <c r="MZK12" s="248"/>
      <c r="MZL12" s="248"/>
      <c r="MZM12" s="248"/>
      <c r="MZN12" s="248"/>
      <c r="MZO12" s="248"/>
      <c r="MZP12" s="248"/>
      <c r="MZQ12" s="248"/>
      <c r="MZR12" s="248"/>
      <c r="MZS12" s="248"/>
      <c r="MZT12" s="248"/>
      <c r="MZU12" s="248"/>
      <c r="MZV12" s="248"/>
      <c r="MZW12" s="248"/>
      <c r="MZX12" s="248"/>
      <c r="MZY12" s="248"/>
      <c r="MZZ12" s="248"/>
      <c r="NAA12" s="248"/>
      <c r="NAB12" s="248"/>
      <c r="NAC12" s="248"/>
      <c r="NAD12" s="248"/>
      <c r="NAE12" s="248"/>
      <c r="NAF12" s="248"/>
      <c r="NAG12" s="248"/>
      <c r="NAH12" s="248"/>
      <c r="NAI12" s="248"/>
      <c r="NAJ12" s="248"/>
      <c r="NAK12" s="248"/>
      <c r="NAL12" s="248"/>
      <c r="NAM12" s="248"/>
      <c r="NAN12" s="248"/>
      <c r="NAO12" s="248"/>
      <c r="NAP12" s="248"/>
      <c r="NAQ12" s="248"/>
      <c r="NAR12" s="248"/>
      <c r="NAS12" s="248"/>
      <c r="NAT12" s="248"/>
      <c r="NAU12" s="248"/>
      <c r="NAV12" s="248"/>
      <c r="NAW12" s="248"/>
      <c r="NAX12" s="248"/>
      <c r="NAY12" s="248"/>
      <c r="NAZ12" s="248"/>
      <c r="NBA12" s="248"/>
      <c r="NBB12" s="248"/>
      <c r="NBC12" s="248"/>
      <c r="NBD12" s="248"/>
      <c r="NBE12" s="248"/>
      <c r="NBF12" s="248"/>
      <c r="NBG12" s="248"/>
      <c r="NBH12" s="248"/>
      <c r="NBI12" s="248"/>
      <c r="NBJ12" s="248"/>
      <c r="NBK12" s="248"/>
      <c r="NBL12" s="248"/>
      <c r="NBM12" s="248"/>
      <c r="NBN12" s="248"/>
      <c r="NBO12" s="248"/>
      <c r="NBP12" s="248"/>
      <c r="NBQ12" s="248"/>
      <c r="NBR12" s="248"/>
      <c r="NBS12" s="248"/>
      <c r="NBT12" s="248"/>
      <c r="NBU12" s="248"/>
      <c r="NBV12" s="248"/>
      <c r="NBW12" s="248"/>
      <c r="NBX12" s="248"/>
      <c r="NBY12" s="248"/>
      <c r="NBZ12" s="248"/>
      <c r="NCA12" s="248"/>
      <c r="NCB12" s="248"/>
      <c r="NCC12" s="248"/>
      <c r="NCD12" s="248"/>
      <c r="NCE12" s="248"/>
      <c r="NCF12" s="248"/>
      <c r="NCG12" s="248"/>
      <c r="NCH12" s="248"/>
      <c r="NCI12" s="248"/>
      <c r="NCJ12" s="248"/>
      <c r="NCK12" s="248"/>
      <c r="NCL12" s="248"/>
      <c r="NCM12" s="248"/>
      <c r="NCN12" s="248"/>
      <c r="NCO12" s="248"/>
      <c r="NCP12" s="248"/>
      <c r="NCQ12" s="248"/>
      <c r="NCR12" s="248"/>
      <c r="NCS12" s="248"/>
      <c r="NCT12" s="248"/>
      <c r="NCU12" s="248"/>
      <c r="NCV12" s="248"/>
      <c r="NCW12" s="248"/>
      <c r="NCX12" s="248"/>
      <c r="NCY12" s="248"/>
      <c r="NCZ12" s="248"/>
      <c r="NDA12" s="248"/>
      <c r="NDB12" s="248"/>
      <c r="NDC12" s="248"/>
      <c r="NDD12" s="248"/>
      <c r="NDE12" s="248"/>
      <c r="NDF12" s="248"/>
      <c r="NDG12" s="248"/>
      <c r="NDH12" s="248"/>
      <c r="NDI12" s="248"/>
      <c r="NDJ12" s="248"/>
      <c r="NDK12" s="248"/>
      <c r="NDL12" s="248"/>
      <c r="NDM12" s="248"/>
      <c r="NDN12" s="248"/>
      <c r="NDO12" s="248"/>
      <c r="NDP12" s="248"/>
      <c r="NDQ12" s="248"/>
      <c r="NDR12" s="248"/>
      <c r="NDS12" s="248"/>
      <c r="NDT12" s="248"/>
      <c r="NDU12" s="248"/>
      <c r="NDV12" s="248"/>
      <c r="NDW12" s="248"/>
      <c r="NDX12" s="248"/>
      <c r="NDY12" s="248"/>
      <c r="NDZ12" s="248"/>
      <c r="NEA12" s="248"/>
      <c r="NEB12" s="248"/>
      <c r="NEC12" s="248"/>
      <c r="NED12" s="248"/>
      <c r="NEE12" s="248"/>
      <c r="NEF12" s="248"/>
      <c r="NEG12" s="248"/>
      <c r="NEH12" s="248"/>
      <c r="NEI12" s="248"/>
      <c r="NEJ12" s="248"/>
      <c r="NEK12" s="248"/>
      <c r="NEL12" s="248"/>
      <c r="NEM12" s="248"/>
      <c r="NEN12" s="248"/>
      <c r="NEO12" s="248"/>
      <c r="NEP12" s="248"/>
      <c r="NEQ12" s="248"/>
      <c r="NER12" s="248"/>
      <c r="NES12" s="248"/>
      <c r="NET12" s="248"/>
      <c r="NEU12" s="248"/>
      <c r="NEV12" s="248"/>
      <c r="NEW12" s="248"/>
      <c r="NEX12" s="248"/>
      <c r="NEY12" s="248"/>
      <c r="NEZ12" s="248"/>
      <c r="NFA12" s="248"/>
      <c r="NFB12" s="248"/>
      <c r="NFC12" s="248"/>
      <c r="NFD12" s="248"/>
      <c r="NFE12" s="248"/>
      <c r="NFF12" s="248"/>
      <c r="NFG12" s="248"/>
      <c r="NFH12" s="248"/>
      <c r="NFI12" s="248"/>
      <c r="NFJ12" s="248"/>
      <c r="NFK12" s="248"/>
      <c r="NFL12" s="248"/>
      <c r="NFM12" s="248"/>
      <c r="NFN12" s="248"/>
      <c r="NFO12" s="248"/>
      <c r="NFP12" s="248"/>
      <c r="NFQ12" s="248"/>
      <c r="NFR12" s="248"/>
      <c r="NFS12" s="248"/>
      <c r="NFT12" s="248"/>
      <c r="NFU12" s="248"/>
      <c r="NFV12" s="248"/>
      <c r="NFW12" s="248"/>
      <c r="NFX12" s="248"/>
      <c r="NFY12" s="248"/>
      <c r="NFZ12" s="248"/>
      <c r="NGA12" s="248"/>
      <c r="NGB12" s="248"/>
      <c r="NGC12" s="248"/>
      <c r="NGD12" s="248"/>
      <c r="NGE12" s="248"/>
      <c r="NGF12" s="248"/>
      <c r="NGG12" s="248"/>
      <c r="NGH12" s="248"/>
      <c r="NGI12" s="248"/>
      <c r="NGJ12" s="248"/>
      <c r="NGK12" s="248"/>
      <c r="NGL12" s="248"/>
      <c r="NGM12" s="248"/>
      <c r="NGN12" s="248"/>
      <c r="NGO12" s="248"/>
      <c r="NGP12" s="248"/>
      <c r="NGQ12" s="248"/>
      <c r="NGR12" s="248"/>
      <c r="NGS12" s="248"/>
      <c r="NGT12" s="248"/>
      <c r="NGU12" s="248"/>
      <c r="NGV12" s="248"/>
      <c r="NGW12" s="248"/>
      <c r="NGX12" s="248"/>
      <c r="NGY12" s="248"/>
      <c r="NGZ12" s="248"/>
      <c r="NHA12" s="248"/>
      <c r="NHB12" s="248"/>
      <c r="NHC12" s="248"/>
      <c r="NHD12" s="248"/>
      <c r="NHE12" s="248"/>
      <c r="NHF12" s="248"/>
      <c r="NHG12" s="248"/>
      <c r="NHH12" s="248"/>
      <c r="NHI12" s="248"/>
      <c r="NHJ12" s="248"/>
      <c r="NHK12" s="248"/>
      <c r="NHL12" s="248"/>
      <c r="NHM12" s="248"/>
      <c r="NHN12" s="248"/>
      <c r="NHO12" s="248"/>
      <c r="NHP12" s="248"/>
      <c r="NHQ12" s="248"/>
      <c r="NHR12" s="248"/>
      <c r="NHS12" s="248"/>
      <c r="NHT12" s="248"/>
      <c r="NHU12" s="248"/>
      <c r="NHV12" s="248"/>
      <c r="NHW12" s="248"/>
      <c r="NHX12" s="248"/>
      <c r="NHY12" s="248"/>
      <c r="NHZ12" s="248"/>
      <c r="NIA12" s="248"/>
      <c r="NIB12" s="248"/>
      <c r="NIC12" s="248"/>
      <c r="NID12" s="248"/>
      <c r="NIE12" s="248"/>
      <c r="NIF12" s="248"/>
      <c r="NIG12" s="248"/>
      <c r="NIH12" s="248"/>
      <c r="NII12" s="248"/>
      <c r="NIJ12" s="248"/>
      <c r="NIK12" s="248"/>
      <c r="NIL12" s="248"/>
      <c r="NIM12" s="248"/>
      <c r="NIN12" s="248"/>
      <c r="NIO12" s="248"/>
      <c r="NIP12" s="248"/>
      <c r="NIQ12" s="248"/>
      <c r="NIR12" s="248"/>
      <c r="NIS12" s="248"/>
      <c r="NIT12" s="248"/>
      <c r="NIU12" s="248"/>
      <c r="NIV12" s="248"/>
      <c r="NIW12" s="248"/>
      <c r="NIX12" s="248"/>
      <c r="NIY12" s="248"/>
      <c r="NIZ12" s="248"/>
      <c r="NJA12" s="248"/>
      <c r="NJB12" s="248"/>
      <c r="NJC12" s="248"/>
      <c r="NJD12" s="248"/>
      <c r="NJE12" s="248"/>
      <c r="NJF12" s="248"/>
      <c r="NJG12" s="248"/>
      <c r="NJH12" s="248"/>
      <c r="NJI12" s="248"/>
      <c r="NJJ12" s="248"/>
      <c r="NJK12" s="248"/>
      <c r="NJL12" s="248"/>
      <c r="NJM12" s="248"/>
      <c r="NJN12" s="248"/>
      <c r="NJO12" s="248"/>
      <c r="NJP12" s="248"/>
      <c r="NJQ12" s="248"/>
      <c r="NJR12" s="248"/>
      <c r="NJS12" s="248"/>
      <c r="NJT12" s="248"/>
      <c r="NJU12" s="248"/>
      <c r="NJV12" s="248"/>
      <c r="NJW12" s="248"/>
      <c r="NJX12" s="248"/>
      <c r="NJY12" s="248"/>
      <c r="NJZ12" s="248"/>
      <c r="NKA12" s="248"/>
      <c r="NKB12" s="248"/>
      <c r="NKC12" s="248"/>
      <c r="NKD12" s="248"/>
      <c r="NKE12" s="248"/>
      <c r="NKF12" s="248"/>
      <c r="NKG12" s="248"/>
      <c r="NKH12" s="248"/>
      <c r="NKI12" s="248"/>
      <c r="NKJ12" s="248"/>
      <c r="NKK12" s="248"/>
      <c r="NKL12" s="248"/>
      <c r="NKM12" s="248"/>
      <c r="NKN12" s="248"/>
      <c r="NKO12" s="248"/>
      <c r="NKP12" s="248"/>
      <c r="NKQ12" s="248"/>
      <c r="NKR12" s="248"/>
      <c r="NKS12" s="248"/>
      <c r="NKT12" s="248"/>
      <c r="NKU12" s="248"/>
      <c r="NKV12" s="248"/>
      <c r="NKW12" s="248"/>
      <c r="NKX12" s="248"/>
      <c r="NKY12" s="248"/>
      <c r="NKZ12" s="248"/>
      <c r="NLA12" s="248"/>
      <c r="NLB12" s="248"/>
      <c r="NLC12" s="248"/>
      <c r="NLD12" s="248"/>
      <c r="NLE12" s="248"/>
      <c r="NLF12" s="248"/>
      <c r="NLG12" s="248"/>
      <c r="NLH12" s="248"/>
      <c r="NLI12" s="248"/>
      <c r="NLJ12" s="248"/>
      <c r="NLK12" s="248"/>
      <c r="NLL12" s="248"/>
      <c r="NLM12" s="248"/>
      <c r="NLN12" s="248"/>
      <c r="NLO12" s="248"/>
      <c r="NLP12" s="248"/>
      <c r="NLQ12" s="248"/>
      <c r="NLR12" s="248"/>
      <c r="NLS12" s="248"/>
      <c r="NLT12" s="248"/>
      <c r="NLU12" s="248"/>
      <c r="NLV12" s="248"/>
      <c r="NLW12" s="248"/>
      <c r="NLX12" s="248"/>
      <c r="NLY12" s="248"/>
      <c r="NLZ12" s="248"/>
      <c r="NMA12" s="248"/>
      <c r="NMB12" s="248"/>
      <c r="NMC12" s="248"/>
      <c r="NMD12" s="248"/>
      <c r="NME12" s="248"/>
      <c r="NMF12" s="248"/>
      <c r="NMG12" s="248"/>
      <c r="NMH12" s="248"/>
      <c r="NMI12" s="248"/>
      <c r="NMJ12" s="248"/>
      <c r="NMK12" s="248"/>
      <c r="NML12" s="248"/>
      <c r="NMM12" s="248"/>
      <c r="NMN12" s="248"/>
      <c r="NMO12" s="248"/>
      <c r="NMP12" s="248"/>
      <c r="NMQ12" s="248"/>
      <c r="NMR12" s="248"/>
      <c r="NMS12" s="248"/>
      <c r="NMT12" s="248"/>
      <c r="NMU12" s="248"/>
      <c r="NMV12" s="248"/>
      <c r="NMW12" s="248"/>
      <c r="NMX12" s="248"/>
      <c r="NMY12" s="248"/>
      <c r="NMZ12" s="248"/>
      <c r="NNA12" s="248"/>
      <c r="NNB12" s="248"/>
      <c r="NNC12" s="248"/>
      <c r="NND12" s="248"/>
      <c r="NNE12" s="248"/>
      <c r="NNF12" s="248"/>
      <c r="NNG12" s="248"/>
      <c r="NNH12" s="248"/>
      <c r="NNI12" s="248"/>
      <c r="NNJ12" s="248"/>
      <c r="NNK12" s="248"/>
      <c r="NNL12" s="248"/>
      <c r="NNM12" s="248"/>
      <c r="NNN12" s="248"/>
      <c r="NNO12" s="248"/>
      <c r="NNP12" s="248"/>
      <c r="NNQ12" s="248"/>
      <c r="NNR12" s="248"/>
      <c r="NNS12" s="248"/>
      <c r="NNT12" s="248"/>
      <c r="NNU12" s="248"/>
      <c r="NNV12" s="248"/>
      <c r="NNW12" s="248"/>
      <c r="NNX12" s="248"/>
      <c r="NNY12" s="248"/>
      <c r="NNZ12" s="248"/>
      <c r="NOA12" s="248"/>
      <c r="NOB12" s="248"/>
      <c r="NOC12" s="248"/>
      <c r="NOD12" s="248"/>
      <c r="NOE12" s="248"/>
      <c r="NOF12" s="248"/>
      <c r="NOG12" s="248"/>
      <c r="NOH12" s="248"/>
      <c r="NOI12" s="248"/>
      <c r="NOJ12" s="248"/>
      <c r="NOK12" s="248"/>
      <c r="NOL12" s="248"/>
      <c r="NOM12" s="248"/>
      <c r="NON12" s="248"/>
      <c r="NOO12" s="248"/>
      <c r="NOP12" s="248"/>
      <c r="NOQ12" s="248"/>
      <c r="NOR12" s="248"/>
      <c r="NOS12" s="248"/>
      <c r="NOT12" s="248"/>
      <c r="NOU12" s="248"/>
      <c r="NOV12" s="248"/>
      <c r="NOW12" s="248"/>
      <c r="NOX12" s="248"/>
      <c r="NOY12" s="248"/>
      <c r="NOZ12" s="248"/>
      <c r="NPA12" s="248"/>
      <c r="NPB12" s="248"/>
      <c r="NPC12" s="248"/>
      <c r="NPD12" s="248"/>
      <c r="NPE12" s="248"/>
      <c r="NPF12" s="248"/>
      <c r="NPG12" s="248"/>
      <c r="NPH12" s="248"/>
      <c r="NPI12" s="248"/>
      <c r="NPJ12" s="248"/>
      <c r="NPK12" s="248"/>
      <c r="NPL12" s="248"/>
      <c r="NPM12" s="248"/>
      <c r="NPN12" s="248"/>
      <c r="NPO12" s="248"/>
      <c r="NPP12" s="248"/>
      <c r="NPQ12" s="248"/>
      <c r="NPR12" s="248"/>
      <c r="NPS12" s="248"/>
      <c r="NPT12" s="248"/>
      <c r="NPU12" s="248"/>
      <c r="NPV12" s="248"/>
      <c r="NPW12" s="248"/>
      <c r="NPX12" s="248"/>
      <c r="NPY12" s="248"/>
      <c r="NPZ12" s="248"/>
      <c r="NQA12" s="248"/>
      <c r="NQB12" s="248"/>
      <c r="NQC12" s="248"/>
      <c r="NQD12" s="248"/>
      <c r="NQE12" s="248"/>
      <c r="NQF12" s="248"/>
      <c r="NQG12" s="248"/>
      <c r="NQH12" s="248"/>
      <c r="NQI12" s="248"/>
      <c r="NQJ12" s="248"/>
      <c r="NQK12" s="248"/>
      <c r="NQL12" s="248"/>
      <c r="NQM12" s="248"/>
      <c r="NQN12" s="248"/>
      <c r="NQO12" s="248"/>
      <c r="NQP12" s="248"/>
      <c r="NQQ12" s="248"/>
      <c r="NQR12" s="248"/>
      <c r="NQS12" s="248"/>
      <c r="NQT12" s="248"/>
      <c r="NQU12" s="248"/>
      <c r="NQV12" s="248"/>
      <c r="NQW12" s="248"/>
      <c r="NQX12" s="248"/>
      <c r="NQY12" s="248"/>
      <c r="NQZ12" s="248"/>
      <c r="NRA12" s="248"/>
      <c r="NRB12" s="248"/>
      <c r="NRC12" s="248"/>
      <c r="NRD12" s="248"/>
      <c r="NRE12" s="248"/>
      <c r="NRF12" s="248"/>
      <c r="NRG12" s="248"/>
      <c r="NRH12" s="248"/>
      <c r="NRI12" s="248"/>
      <c r="NRJ12" s="248"/>
      <c r="NRK12" s="248"/>
      <c r="NRL12" s="248"/>
      <c r="NRM12" s="248"/>
      <c r="NRN12" s="248"/>
      <c r="NRO12" s="248"/>
      <c r="NRP12" s="248"/>
      <c r="NRQ12" s="248"/>
      <c r="NRR12" s="248"/>
      <c r="NRS12" s="248"/>
      <c r="NRT12" s="248"/>
      <c r="NRU12" s="248"/>
      <c r="NRV12" s="248"/>
      <c r="NRW12" s="248"/>
      <c r="NRX12" s="248"/>
      <c r="NRY12" s="248"/>
      <c r="NRZ12" s="248"/>
      <c r="NSA12" s="248"/>
      <c r="NSB12" s="248"/>
      <c r="NSC12" s="248"/>
      <c r="NSD12" s="248"/>
      <c r="NSE12" s="248"/>
      <c r="NSF12" s="248"/>
      <c r="NSG12" s="248"/>
      <c r="NSH12" s="248"/>
      <c r="NSI12" s="248"/>
      <c r="NSJ12" s="248"/>
      <c r="NSK12" s="248"/>
      <c r="NSL12" s="248"/>
      <c r="NSM12" s="248"/>
      <c r="NSN12" s="248"/>
      <c r="NSO12" s="248"/>
      <c r="NSP12" s="248"/>
      <c r="NSQ12" s="248"/>
      <c r="NSR12" s="248"/>
      <c r="NSS12" s="248"/>
      <c r="NST12" s="248"/>
      <c r="NSU12" s="248"/>
      <c r="NSV12" s="248"/>
      <c r="NSW12" s="248"/>
      <c r="NSX12" s="248"/>
      <c r="NSY12" s="248"/>
      <c r="NSZ12" s="248"/>
      <c r="NTA12" s="248"/>
      <c r="NTB12" s="248"/>
      <c r="NTC12" s="248"/>
      <c r="NTD12" s="248"/>
      <c r="NTE12" s="248"/>
      <c r="NTF12" s="248"/>
      <c r="NTG12" s="248"/>
      <c r="NTH12" s="248"/>
      <c r="NTI12" s="248"/>
      <c r="NTJ12" s="248"/>
      <c r="NTK12" s="248"/>
      <c r="NTL12" s="248"/>
      <c r="NTM12" s="248"/>
      <c r="NTN12" s="248"/>
      <c r="NTO12" s="248"/>
      <c r="NTP12" s="248"/>
      <c r="NTQ12" s="248"/>
      <c r="NTR12" s="248"/>
      <c r="NTS12" s="248"/>
      <c r="NTT12" s="248"/>
      <c r="NTU12" s="248"/>
      <c r="NTV12" s="248"/>
      <c r="NTW12" s="248"/>
      <c r="NTX12" s="248"/>
      <c r="NTY12" s="248"/>
      <c r="NTZ12" s="248"/>
      <c r="NUA12" s="248"/>
      <c r="NUB12" s="248"/>
      <c r="NUC12" s="248"/>
      <c r="NUD12" s="248"/>
      <c r="NUE12" s="248"/>
      <c r="NUF12" s="248"/>
      <c r="NUG12" s="248"/>
      <c r="NUH12" s="248"/>
      <c r="NUI12" s="248"/>
      <c r="NUJ12" s="248"/>
      <c r="NUK12" s="248"/>
      <c r="NUL12" s="248"/>
      <c r="NUM12" s="248"/>
      <c r="NUN12" s="248"/>
      <c r="NUO12" s="248"/>
      <c r="NUP12" s="248"/>
      <c r="NUQ12" s="248"/>
      <c r="NUR12" s="248"/>
      <c r="NUS12" s="248"/>
      <c r="NUT12" s="248"/>
      <c r="NUU12" s="248"/>
      <c r="NUV12" s="248"/>
      <c r="NUW12" s="248"/>
      <c r="NUX12" s="248"/>
      <c r="NUY12" s="248"/>
      <c r="NUZ12" s="248"/>
      <c r="NVA12" s="248"/>
      <c r="NVB12" s="248"/>
      <c r="NVC12" s="248"/>
      <c r="NVD12" s="248"/>
      <c r="NVE12" s="248"/>
      <c r="NVF12" s="248"/>
      <c r="NVG12" s="248"/>
      <c r="NVH12" s="248"/>
      <c r="NVI12" s="248"/>
      <c r="NVJ12" s="248"/>
      <c r="NVK12" s="248"/>
      <c r="NVL12" s="248"/>
      <c r="NVM12" s="248"/>
      <c r="NVN12" s="248"/>
      <c r="NVO12" s="248"/>
      <c r="NVP12" s="248"/>
      <c r="NVQ12" s="248"/>
      <c r="NVR12" s="248"/>
      <c r="NVS12" s="248"/>
      <c r="NVT12" s="248"/>
      <c r="NVU12" s="248"/>
      <c r="NVV12" s="248"/>
      <c r="NVW12" s="248"/>
      <c r="NVX12" s="248"/>
      <c r="NVY12" s="248"/>
      <c r="NVZ12" s="248"/>
      <c r="NWA12" s="248"/>
      <c r="NWB12" s="248"/>
      <c r="NWC12" s="248"/>
      <c r="NWD12" s="248"/>
      <c r="NWE12" s="248"/>
      <c r="NWF12" s="248"/>
      <c r="NWG12" s="248"/>
      <c r="NWH12" s="248"/>
      <c r="NWI12" s="248"/>
      <c r="NWJ12" s="248"/>
      <c r="NWK12" s="248"/>
      <c r="NWL12" s="248"/>
      <c r="NWM12" s="248"/>
      <c r="NWN12" s="248"/>
      <c r="NWO12" s="248"/>
      <c r="NWP12" s="248"/>
      <c r="NWQ12" s="248"/>
      <c r="NWR12" s="248"/>
      <c r="NWS12" s="248"/>
      <c r="NWT12" s="248"/>
      <c r="NWU12" s="248"/>
      <c r="NWV12" s="248"/>
      <c r="NWW12" s="248"/>
      <c r="NWX12" s="248"/>
      <c r="NWY12" s="248"/>
      <c r="NWZ12" s="248"/>
      <c r="NXA12" s="248"/>
      <c r="NXB12" s="248"/>
      <c r="NXC12" s="248"/>
      <c r="NXD12" s="248"/>
      <c r="NXE12" s="248"/>
      <c r="NXF12" s="248"/>
      <c r="NXG12" s="248"/>
      <c r="NXH12" s="248"/>
      <c r="NXI12" s="248"/>
      <c r="NXJ12" s="248"/>
      <c r="NXK12" s="248"/>
      <c r="NXL12" s="248"/>
      <c r="NXM12" s="248"/>
      <c r="NXN12" s="248"/>
      <c r="NXO12" s="248"/>
      <c r="NXP12" s="248"/>
      <c r="NXQ12" s="248"/>
      <c r="NXR12" s="248"/>
      <c r="NXS12" s="248"/>
      <c r="NXT12" s="248"/>
      <c r="NXU12" s="248"/>
      <c r="NXV12" s="248"/>
      <c r="NXW12" s="248"/>
      <c r="NXX12" s="248"/>
      <c r="NXY12" s="248"/>
      <c r="NXZ12" s="248"/>
      <c r="NYA12" s="248"/>
      <c r="NYB12" s="248"/>
      <c r="NYC12" s="248"/>
      <c r="NYD12" s="248"/>
      <c r="NYE12" s="248"/>
      <c r="NYF12" s="248"/>
      <c r="NYG12" s="248"/>
      <c r="NYH12" s="248"/>
      <c r="NYI12" s="248"/>
      <c r="NYJ12" s="248"/>
      <c r="NYK12" s="248"/>
      <c r="NYL12" s="248"/>
      <c r="NYM12" s="248"/>
      <c r="NYN12" s="248"/>
      <c r="NYO12" s="248"/>
      <c r="NYP12" s="248"/>
      <c r="NYQ12" s="248"/>
      <c r="NYR12" s="248"/>
      <c r="NYS12" s="248"/>
      <c r="NYT12" s="248"/>
      <c r="NYU12" s="248"/>
      <c r="NYV12" s="248"/>
      <c r="NYW12" s="248"/>
      <c r="NYX12" s="248"/>
      <c r="NYY12" s="248"/>
      <c r="NYZ12" s="248"/>
      <c r="NZA12" s="248"/>
      <c r="NZB12" s="248"/>
      <c r="NZC12" s="248"/>
      <c r="NZD12" s="248"/>
      <c r="NZE12" s="248"/>
      <c r="NZF12" s="248"/>
      <c r="NZG12" s="248"/>
      <c r="NZH12" s="248"/>
      <c r="NZI12" s="248"/>
      <c r="NZJ12" s="248"/>
      <c r="NZK12" s="248"/>
      <c r="NZL12" s="248"/>
      <c r="NZM12" s="248"/>
      <c r="NZN12" s="248"/>
      <c r="NZO12" s="248"/>
      <c r="NZP12" s="248"/>
      <c r="NZQ12" s="248"/>
      <c r="NZR12" s="248"/>
      <c r="NZS12" s="248"/>
      <c r="NZT12" s="248"/>
      <c r="NZU12" s="248"/>
      <c r="NZV12" s="248"/>
      <c r="NZW12" s="248"/>
      <c r="NZX12" s="248"/>
      <c r="NZY12" s="248"/>
      <c r="NZZ12" s="248"/>
      <c r="OAA12" s="248"/>
      <c r="OAB12" s="248"/>
      <c r="OAC12" s="248"/>
      <c r="OAD12" s="248"/>
      <c r="OAE12" s="248"/>
      <c r="OAF12" s="248"/>
      <c r="OAG12" s="248"/>
      <c r="OAH12" s="248"/>
      <c r="OAI12" s="248"/>
      <c r="OAJ12" s="248"/>
      <c r="OAK12" s="248"/>
      <c r="OAL12" s="248"/>
      <c r="OAM12" s="248"/>
      <c r="OAN12" s="248"/>
      <c r="OAO12" s="248"/>
      <c r="OAP12" s="248"/>
      <c r="OAQ12" s="248"/>
      <c r="OAR12" s="248"/>
      <c r="OAS12" s="248"/>
      <c r="OAT12" s="248"/>
      <c r="OAU12" s="248"/>
      <c r="OAV12" s="248"/>
      <c r="OAW12" s="248"/>
      <c r="OAX12" s="248"/>
      <c r="OAY12" s="248"/>
      <c r="OAZ12" s="248"/>
      <c r="OBA12" s="248"/>
      <c r="OBB12" s="248"/>
      <c r="OBC12" s="248"/>
      <c r="OBD12" s="248"/>
      <c r="OBE12" s="248"/>
      <c r="OBF12" s="248"/>
      <c r="OBG12" s="248"/>
      <c r="OBH12" s="248"/>
      <c r="OBI12" s="248"/>
      <c r="OBJ12" s="248"/>
      <c r="OBK12" s="248"/>
      <c r="OBL12" s="248"/>
      <c r="OBM12" s="248"/>
      <c r="OBN12" s="248"/>
      <c r="OBO12" s="248"/>
      <c r="OBP12" s="248"/>
      <c r="OBQ12" s="248"/>
      <c r="OBR12" s="248"/>
      <c r="OBS12" s="248"/>
      <c r="OBT12" s="248"/>
      <c r="OBU12" s="248"/>
      <c r="OBV12" s="248"/>
      <c r="OBW12" s="248"/>
      <c r="OBX12" s="248"/>
      <c r="OBY12" s="248"/>
      <c r="OBZ12" s="248"/>
      <c r="OCA12" s="248"/>
      <c r="OCB12" s="248"/>
      <c r="OCC12" s="248"/>
      <c r="OCD12" s="248"/>
      <c r="OCE12" s="248"/>
      <c r="OCF12" s="248"/>
      <c r="OCG12" s="248"/>
      <c r="OCH12" s="248"/>
      <c r="OCI12" s="248"/>
      <c r="OCJ12" s="248"/>
      <c r="OCK12" s="248"/>
      <c r="OCL12" s="248"/>
      <c r="OCM12" s="248"/>
      <c r="OCN12" s="248"/>
      <c r="OCO12" s="248"/>
      <c r="OCP12" s="248"/>
      <c r="OCQ12" s="248"/>
      <c r="OCR12" s="248"/>
      <c r="OCS12" s="248"/>
      <c r="OCT12" s="248"/>
      <c r="OCU12" s="248"/>
      <c r="OCV12" s="248"/>
      <c r="OCW12" s="248"/>
      <c r="OCX12" s="248"/>
      <c r="OCY12" s="248"/>
      <c r="OCZ12" s="248"/>
      <c r="ODA12" s="248"/>
      <c r="ODB12" s="248"/>
      <c r="ODC12" s="248"/>
      <c r="ODD12" s="248"/>
      <c r="ODE12" s="248"/>
      <c r="ODF12" s="248"/>
      <c r="ODG12" s="248"/>
      <c r="ODH12" s="248"/>
      <c r="ODI12" s="248"/>
      <c r="ODJ12" s="248"/>
      <c r="ODK12" s="248"/>
      <c r="ODL12" s="248"/>
      <c r="ODM12" s="248"/>
      <c r="ODN12" s="248"/>
      <c r="ODO12" s="248"/>
      <c r="ODP12" s="248"/>
      <c r="ODQ12" s="248"/>
      <c r="ODR12" s="248"/>
      <c r="ODS12" s="248"/>
      <c r="ODT12" s="248"/>
      <c r="ODU12" s="248"/>
      <c r="ODV12" s="248"/>
      <c r="ODW12" s="248"/>
      <c r="ODX12" s="248"/>
      <c r="ODY12" s="248"/>
      <c r="ODZ12" s="248"/>
      <c r="OEA12" s="248"/>
      <c r="OEB12" s="248"/>
      <c r="OEC12" s="248"/>
      <c r="OED12" s="248"/>
      <c r="OEE12" s="248"/>
      <c r="OEF12" s="248"/>
      <c r="OEG12" s="248"/>
      <c r="OEH12" s="248"/>
      <c r="OEI12" s="248"/>
      <c r="OEJ12" s="248"/>
      <c r="OEK12" s="248"/>
      <c r="OEL12" s="248"/>
      <c r="OEM12" s="248"/>
      <c r="OEN12" s="248"/>
      <c r="OEO12" s="248"/>
      <c r="OEP12" s="248"/>
      <c r="OEQ12" s="248"/>
      <c r="OER12" s="248"/>
      <c r="OES12" s="248"/>
      <c r="OET12" s="248"/>
      <c r="OEU12" s="248"/>
      <c r="OEV12" s="248"/>
      <c r="OEW12" s="248"/>
      <c r="OEX12" s="248"/>
      <c r="OEY12" s="248"/>
      <c r="OEZ12" s="248"/>
      <c r="OFA12" s="248"/>
      <c r="OFB12" s="248"/>
      <c r="OFC12" s="248"/>
      <c r="OFD12" s="248"/>
      <c r="OFE12" s="248"/>
      <c r="OFF12" s="248"/>
      <c r="OFG12" s="248"/>
      <c r="OFH12" s="248"/>
      <c r="OFI12" s="248"/>
      <c r="OFJ12" s="248"/>
      <c r="OFK12" s="248"/>
      <c r="OFL12" s="248"/>
      <c r="OFM12" s="248"/>
      <c r="OFN12" s="248"/>
      <c r="OFO12" s="248"/>
      <c r="OFP12" s="248"/>
      <c r="OFQ12" s="248"/>
      <c r="OFR12" s="248"/>
      <c r="OFS12" s="248"/>
      <c r="OFT12" s="248"/>
      <c r="OFU12" s="248"/>
      <c r="OFV12" s="248"/>
      <c r="OFW12" s="248"/>
      <c r="OFX12" s="248"/>
      <c r="OFY12" s="248"/>
      <c r="OFZ12" s="248"/>
      <c r="OGA12" s="248"/>
      <c r="OGB12" s="248"/>
      <c r="OGC12" s="248"/>
      <c r="OGD12" s="248"/>
      <c r="OGE12" s="248"/>
      <c r="OGF12" s="248"/>
      <c r="OGG12" s="248"/>
      <c r="OGH12" s="248"/>
      <c r="OGI12" s="248"/>
      <c r="OGJ12" s="248"/>
      <c r="OGK12" s="248"/>
      <c r="OGL12" s="248"/>
      <c r="OGM12" s="248"/>
      <c r="OGN12" s="248"/>
      <c r="OGO12" s="248"/>
      <c r="OGP12" s="248"/>
      <c r="OGQ12" s="248"/>
      <c r="OGR12" s="248"/>
      <c r="OGS12" s="248"/>
      <c r="OGT12" s="248"/>
      <c r="OGU12" s="248"/>
      <c r="OGV12" s="248"/>
      <c r="OGW12" s="248"/>
      <c r="OGX12" s="248"/>
      <c r="OGY12" s="248"/>
      <c r="OGZ12" s="248"/>
      <c r="OHA12" s="248"/>
      <c r="OHB12" s="248"/>
      <c r="OHC12" s="248"/>
      <c r="OHD12" s="248"/>
      <c r="OHE12" s="248"/>
      <c r="OHF12" s="248"/>
      <c r="OHG12" s="248"/>
      <c r="OHH12" s="248"/>
      <c r="OHI12" s="248"/>
      <c r="OHJ12" s="248"/>
      <c r="OHK12" s="248"/>
      <c r="OHL12" s="248"/>
      <c r="OHM12" s="248"/>
      <c r="OHN12" s="248"/>
      <c r="OHO12" s="248"/>
      <c r="OHP12" s="248"/>
      <c r="OHQ12" s="248"/>
      <c r="OHR12" s="248"/>
      <c r="OHS12" s="248"/>
      <c r="OHT12" s="248"/>
      <c r="OHU12" s="248"/>
      <c r="OHV12" s="248"/>
      <c r="OHW12" s="248"/>
      <c r="OHX12" s="248"/>
      <c r="OHY12" s="248"/>
      <c r="OHZ12" s="248"/>
      <c r="OIA12" s="248"/>
      <c r="OIB12" s="248"/>
      <c r="OIC12" s="248"/>
      <c r="OID12" s="248"/>
      <c r="OIE12" s="248"/>
      <c r="OIF12" s="248"/>
      <c r="OIG12" s="248"/>
      <c r="OIH12" s="248"/>
      <c r="OII12" s="248"/>
      <c r="OIJ12" s="248"/>
      <c r="OIK12" s="248"/>
      <c r="OIL12" s="248"/>
      <c r="OIM12" s="248"/>
      <c r="OIN12" s="248"/>
      <c r="OIO12" s="248"/>
      <c r="OIP12" s="248"/>
      <c r="OIQ12" s="248"/>
      <c r="OIR12" s="248"/>
      <c r="OIS12" s="248"/>
      <c r="OIT12" s="248"/>
      <c r="OIU12" s="248"/>
      <c r="OIV12" s="248"/>
      <c r="OIW12" s="248"/>
      <c r="OIX12" s="248"/>
      <c r="OIY12" s="248"/>
      <c r="OIZ12" s="248"/>
      <c r="OJA12" s="248"/>
      <c r="OJB12" s="248"/>
      <c r="OJC12" s="248"/>
      <c r="OJD12" s="248"/>
      <c r="OJE12" s="248"/>
      <c r="OJF12" s="248"/>
      <c r="OJG12" s="248"/>
      <c r="OJH12" s="248"/>
      <c r="OJI12" s="248"/>
      <c r="OJJ12" s="248"/>
      <c r="OJK12" s="248"/>
      <c r="OJL12" s="248"/>
      <c r="OJM12" s="248"/>
      <c r="OJN12" s="248"/>
      <c r="OJO12" s="248"/>
      <c r="OJP12" s="248"/>
      <c r="OJQ12" s="248"/>
      <c r="OJR12" s="248"/>
      <c r="OJS12" s="248"/>
      <c r="OJT12" s="248"/>
      <c r="OJU12" s="248"/>
      <c r="OJV12" s="248"/>
      <c r="OJW12" s="248"/>
      <c r="OJX12" s="248"/>
      <c r="OJY12" s="248"/>
      <c r="OJZ12" s="248"/>
      <c r="OKA12" s="248"/>
      <c r="OKB12" s="248"/>
      <c r="OKC12" s="248"/>
      <c r="OKD12" s="248"/>
      <c r="OKE12" s="248"/>
      <c r="OKF12" s="248"/>
      <c r="OKG12" s="248"/>
      <c r="OKH12" s="248"/>
      <c r="OKI12" s="248"/>
      <c r="OKJ12" s="248"/>
      <c r="OKK12" s="248"/>
      <c r="OKL12" s="248"/>
      <c r="OKM12" s="248"/>
      <c r="OKN12" s="248"/>
      <c r="OKO12" s="248"/>
      <c r="OKP12" s="248"/>
      <c r="OKQ12" s="248"/>
      <c r="OKR12" s="248"/>
      <c r="OKS12" s="248"/>
      <c r="OKT12" s="248"/>
      <c r="OKU12" s="248"/>
      <c r="OKV12" s="248"/>
      <c r="OKW12" s="248"/>
      <c r="OKX12" s="248"/>
      <c r="OKY12" s="248"/>
      <c r="OKZ12" s="248"/>
      <c r="OLA12" s="248"/>
      <c r="OLB12" s="248"/>
      <c r="OLC12" s="248"/>
      <c r="OLD12" s="248"/>
      <c r="OLE12" s="248"/>
      <c r="OLF12" s="248"/>
      <c r="OLG12" s="248"/>
      <c r="OLH12" s="248"/>
      <c r="OLI12" s="248"/>
      <c r="OLJ12" s="248"/>
      <c r="OLK12" s="248"/>
      <c r="OLL12" s="248"/>
      <c r="OLM12" s="248"/>
      <c r="OLN12" s="248"/>
      <c r="OLO12" s="248"/>
      <c r="OLP12" s="248"/>
      <c r="OLQ12" s="248"/>
      <c r="OLR12" s="248"/>
      <c r="OLS12" s="248"/>
      <c r="OLT12" s="248"/>
      <c r="OLU12" s="248"/>
      <c r="OLV12" s="248"/>
      <c r="OLW12" s="248"/>
      <c r="OLX12" s="248"/>
      <c r="OLY12" s="248"/>
      <c r="OLZ12" s="248"/>
      <c r="OMA12" s="248"/>
      <c r="OMB12" s="248"/>
      <c r="OMC12" s="248"/>
      <c r="OMD12" s="248"/>
      <c r="OME12" s="248"/>
      <c r="OMF12" s="248"/>
      <c r="OMG12" s="248"/>
      <c r="OMH12" s="248"/>
      <c r="OMI12" s="248"/>
      <c r="OMJ12" s="248"/>
      <c r="OMK12" s="248"/>
      <c r="OML12" s="248"/>
      <c r="OMM12" s="248"/>
      <c r="OMN12" s="248"/>
      <c r="OMO12" s="248"/>
      <c r="OMP12" s="248"/>
      <c r="OMQ12" s="248"/>
      <c r="OMR12" s="248"/>
      <c r="OMS12" s="248"/>
      <c r="OMT12" s="248"/>
      <c r="OMU12" s="248"/>
      <c r="OMV12" s="248"/>
      <c r="OMW12" s="248"/>
      <c r="OMX12" s="248"/>
      <c r="OMY12" s="248"/>
      <c r="OMZ12" s="248"/>
      <c r="ONA12" s="248"/>
      <c r="ONB12" s="248"/>
      <c r="ONC12" s="248"/>
      <c r="OND12" s="248"/>
      <c r="ONE12" s="248"/>
      <c r="ONF12" s="248"/>
      <c r="ONG12" s="248"/>
      <c r="ONH12" s="248"/>
      <c r="ONI12" s="248"/>
      <c r="ONJ12" s="248"/>
      <c r="ONK12" s="248"/>
      <c r="ONL12" s="248"/>
      <c r="ONM12" s="248"/>
      <c r="ONN12" s="248"/>
      <c r="ONO12" s="248"/>
      <c r="ONP12" s="248"/>
      <c r="ONQ12" s="248"/>
      <c r="ONR12" s="248"/>
      <c r="ONS12" s="248"/>
      <c r="ONT12" s="248"/>
      <c r="ONU12" s="248"/>
      <c r="ONV12" s="248"/>
      <c r="ONW12" s="248"/>
      <c r="ONX12" s="248"/>
      <c r="ONY12" s="248"/>
      <c r="ONZ12" s="248"/>
      <c r="OOA12" s="248"/>
      <c r="OOB12" s="248"/>
      <c r="OOC12" s="248"/>
      <c r="OOD12" s="248"/>
      <c r="OOE12" s="248"/>
      <c r="OOF12" s="248"/>
      <c r="OOG12" s="248"/>
      <c r="OOH12" s="248"/>
      <c r="OOI12" s="248"/>
      <c r="OOJ12" s="248"/>
      <c r="OOK12" s="248"/>
      <c r="OOL12" s="248"/>
      <c r="OOM12" s="248"/>
      <c r="OON12" s="248"/>
      <c r="OOO12" s="248"/>
      <c r="OOP12" s="248"/>
      <c r="OOQ12" s="248"/>
      <c r="OOR12" s="248"/>
      <c r="OOS12" s="248"/>
      <c r="OOT12" s="248"/>
      <c r="OOU12" s="248"/>
      <c r="OOV12" s="248"/>
      <c r="OOW12" s="248"/>
      <c r="OOX12" s="248"/>
      <c r="OOY12" s="248"/>
      <c r="OOZ12" s="248"/>
      <c r="OPA12" s="248"/>
      <c r="OPB12" s="248"/>
      <c r="OPC12" s="248"/>
      <c r="OPD12" s="248"/>
      <c r="OPE12" s="248"/>
      <c r="OPF12" s="248"/>
      <c r="OPG12" s="248"/>
      <c r="OPH12" s="248"/>
      <c r="OPI12" s="248"/>
      <c r="OPJ12" s="248"/>
      <c r="OPK12" s="248"/>
      <c r="OPL12" s="248"/>
      <c r="OPM12" s="248"/>
      <c r="OPN12" s="248"/>
      <c r="OPO12" s="248"/>
      <c r="OPP12" s="248"/>
      <c r="OPQ12" s="248"/>
      <c r="OPR12" s="248"/>
      <c r="OPS12" s="248"/>
      <c r="OPT12" s="248"/>
      <c r="OPU12" s="248"/>
      <c r="OPV12" s="248"/>
      <c r="OPW12" s="248"/>
      <c r="OPX12" s="248"/>
      <c r="OPY12" s="248"/>
      <c r="OPZ12" s="248"/>
      <c r="OQA12" s="248"/>
      <c r="OQB12" s="248"/>
      <c r="OQC12" s="248"/>
      <c r="OQD12" s="248"/>
      <c r="OQE12" s="248"/>
      <c r="OQF12" s="248"/>
      <c r="OQG12" s="248"/>
      <c r="OQH12" s="248"/>
      <c r="OQI12" s="248"/>
      <c r="OQJ12" s="248"/>
      <c r="OQK12" s="248"/>
      <c r="OQL12" s="248"/>
      <c r="OQM12" s="248"/>
      <c r="OQN12" s="248"/>
      <c r="OQO12" s="248"/>
      <c r="OQP12" s="248"/>
      <c r="OQQ12" s="248"/>
      <c r="OQR12" s="248"/>
      <c r="OQS12" s="248"/>
      <c r="OQT12" s="248"/>
      <c r="OQU12" s="248"/>
      <c r="OQV12" s="248"/>
      <c r="OQW12" s="248"/>
      <c r="OQX12" s="248"/>
      <c r="OQY12" s="248"/>
      <c r="OQZ12" s="248"/>
      <c r="ORA12" s="248"/>
      <c r="ORB12" s="248"/>
      <c r="ORC12" s="248"/>
      <c r="ORD12" s="248"/>
      <c r="ORE12" s="248"/>
      <c r="ORF12" s="248"/>
      <c r="ORG12" s="248"/>
      <c r="ORH12" s="248"/>
      <c r="ORI12" s="248"/>
      <c r="ORJ12" s="248"/>
      <c r="ORK12" s="248"/>
      <c r="ORL12" s="248"/>
      <c r="ORM12" s="248"/>
      <c r="ORN12" s="248"/>
      <c r="ORO12" s="248"/>
      <c r="ORP12" s="248"/>
      <c r="ORQ12" s="248"/>
      <c r="ORR12" s="248"/>
      <c r="ORS12" s="248"/>
      <c r="ORT12" s="248"/>
      <c r="ORU12" s="248"/>
      <c r="ORV12" s="248"/>
      <c r="ORW12" s="248"/>
      <c r="ORX12" s="248"/>
      <c r="ORY12" s="248"/>
      <c r="ORZ12" s="248"/>
      <c r="OSA12" s="248"/>
      <c r="OSB12" s="248"/>
      <c r="OSC12" s="248"/>
      <c r="OSD12" s="248"/>
      <c r="OSE12" s="248"/>
      <c r="OSF12" s="248"/>
      <c r="OSG12" s="248"/>
      <c r="OSH12" s="248"/>
      <c r="OSI12" s="248"/>
      <c r="OSJ12" s="248"/>
      <c r="OSK12" s="248"/>
      <c r="OSL12" s="248"/>
      <c r="OSM12" s="248"/>
      <c r="OSN12" s="248"/>
      <c r="OSO12" s="248"/>
      <c r="OSP12" s="248"/>
      <c r="OSQ12" s="248"/>
      <c r="OSR12" s="248"/>
      <c r="OSS12" s="248"/>
      <c r="OST12" s="248"/>
      <c r="OSU12" s="248"/>
      <c r="OSV12" s="248"/>
      <c r="OSW12" s="248"/>
      <c r="OSX12" s="248"/>
      <c r="OSY12" s="248"/>
      <c r="OSZ12" s="248"/>
      <c r="OTA12" s="248"/>
      <c r="OTB12" s="248"/>
      <c r="OTC12" s="248"/>
      <c r="OTD12" s="248"/>
      <c r="OTE12" s="248"/>
      <c r="OTF12" s="248"/>
      <c r="OTG12" s="248"/>
      <c r="OTH12" s="248"/>
      <c r="OTI12" s="248"/>
      <c r="OTJ12" s="248"/>
      <c r="OTK12" s="248"/>
      <c r="OTL12" s="248"/>
      <c r="OTM12" s="248"/>
      <c r="OTN12" s="248"/>
      <c r="OTO12" s="248"/>
      <c r="OTP12" s="248"/>
      <c r="OTQ12" s="248"/>
      <c r="OTR12" s="248"/>
      <c r="OTS12" s="248"/>
      <c r="OTT12" s="248"/>
      <c r="OTU12" s="248"/>
      <c r="OTV12" s="248"/>
      <c r="OTW12" s="248"/>
      <c r="OTX12" s="248"/>
      <c r="OTY12" s="248"/>
      <c r="OTZ12" s="248"/>
      <c r="OUA12" s="248"/>
      <c r="OUB12" s="248"/>
      <c r="OUC12" s="248"/>
      <c r="OUD12" s="248"/>
      <c r="OUE12" s="248"/>
      <c r="OUF12" s="248"/>
      <c r="OUG12" s="248"/>
      <c r="OUH12" s="248"/>
      <c r="OUI12" s="248"/>
      <c r="OUJ12" s="248"/>
      <c r="OUK12" s="248"/>
      <c r="OUL12" s="248"/>
      <c r="OUM12" s="248"/>
      <c r="OUN12" s="248"/>
      <c r="OUO12" s="248"/>
      <c r="OUP12" s="248"/>
      <c r="OUQ12" s="248"/>
      <c r="OUR12" s="248"/>
      <c r="OUS12" s="248"/>
      <c r="OUT12" s="248"/>
      <c r="OUU12" s="248"/>
      <c r="OUV12" s="248"/>
      <c r="OUW12" s="248"/>
      <c r="OUX12" s="248"/>
      <c r="OUY12" s="248"/>
      <c r="OUZ12" s="248"/>
      <c r="OVA12" s="248"/>
      <c r="OVB12" s="248"/>
      <c r="OVC12" s="248"/>
      <c r="OVD12" s="248"/>
      <c r="OVE12" s="248"/>
      <c r="OVF12" s="248"/>
      <c r="OVG12" s="248"/>
      <c r="OVH12" s="248"/>
      <c r="OVI12" s="248"/>
      <c r="OVJ12" s="248"/>
      <c r="OVK12" s="248"/>
      <c r="OVL12" s="248"/>
      <c r="OVM12" s="248"/>
      <c r="OVN12" s="248"/>
      <c r="OVO12" s="248"/>
      <c r="OVP12" s="248"/>
      <c r="OVQ12" s="248"/>
      <c r="OVR12" s="248"/>
      <c r="OVS12" s="248"/>
      <c r="OVT12" s="248"/>
      <c r="OVU12" s="248"/>
      <c r="OVV12" s="248"/>
      <c r="OVW12" s="248"/>
      <c r="OVX12" s="248"/>
      <c r="OVY12" s="248"/>
      <c r="OVZ12" s="248"/>
      <c r="OWA12" s="248"/>
      <c r="OWB12" s="248"/>
      <c r="OWC12" s="248"/>
      <c r="OWD12" s="248"/>
      <c r="OWE12" s="248"/>
      <c r="OWF12" s="248"/>
      <c r="OWG12" s="248"/>
      <c r="OWH12" s="248"/>
      <c r="OWI12" s="248"/>
      <c r="OWJ12" s="248"/>
      <c r="OWK12" s="248"/>
      <c r="OWL12" s="248"/>
      <c r="OWM12" s="248"/>
      <c r="OWN12" s="248"/>
      <c r="OWO12" s="248"/>
      <c r="OWP12" s="248"/>
      <c r="OWQ12" s="248"/>
      <c r="OWR12" s="248"/>
      <c r="OWS12" s="248"/>
      <c r="OWT12" s="248"/>
      <c r="OWU12" s="248"/>
      <c r="OWV12" s="248"/>
      <c r="OWW12" s="248"/>
      <c r="OWX12" s="248"/>
      <c r="OWY12" s="248"/>
      <c r="OWZ12" s="248"/>
      <c r="OXA12" s="248"/>
      <c r="OXB12" s="248"/>
      <c r="OXC12" s="248"/>
      <c r="OXD12" s="248"/>
      <c r="OXE12" s="248"/>
      <c r="OXF12" s="248"/>
      <c r="OXG12" s="248"/>
      <c r="OXH12" s="248"/>
      <c r="OXI12" s="248"/>
      <c r="OXJ12" s="248"/>
      <c r="OXK12" s="248"/>
      <c r="OXL12" s="248"/>
      <c r="OXM12" s="248"/>
      <c r="OXN12" s="248"/>
      <c r="OXO12" s="248"/>
      <c r="OXP12" s="248"/>
      <c r="OXQ12" s="248"/>
      <c r="OXR12" s="248"/>
      <c r="OXS12" s="248"/>
      <c r="OXT12" s="248"/>
      <c r="OXU12" s="248"/>
      <c r="OXV12" s="248"/>
      <c r="OXW12" s="248"/>
      <c r="OXX12" s="248"/>
      <c r="OXY12" s="248"/>
      <c r="OXZ12" s="248"/>
      <c r="OYA12" s="248"/>
      <c r="OYB12" s="248"/>
      <c r="OYC12" s="248"/>
      <c r="OYD12" s="248"/>
      <c r="OYE12" s="248"/>
      <c r="OYF12" s="248"/>
      <c r="OYG12" s="248"/>
      <c r="OYH12" s="248"/>
      <c r="OYI12" s="248"/>
      <c r="OYJ12" s="248"/>
      <c r="OYK12" s="248"/>
      <c r="OYL12" s="248"/>
      <c r="OYM12" s="248"/>
      <c r="OYN12" s="248"/>
      <c r="OYO12" s="248"/>
      <c r="OYP12" s="248"/>
      <c r="OYQ12" s="248"/>
      <c r="OYR12" s="248"/>
      <c r="OYS12" s="248"/>
      <c r="OYT12" s="248"/>
      <c r="OYU12" s="248"/>
      <c r="OYV12" s="248"/>
      <c r="OYW12" s="248"/>
      <c r="OYX12" s="248"/>
      <c r="OYY12" s="248"/>
      <c r="OYZ12" s="248"/>
      <c r="OZA12" s="248"/>
      <c r="OZB12" s="248"/>
      <c r="OZC12" s="248"/>
      <c r="OZD12" s="248"/>
      <c r="OZE12" s="248"/>
      <c r="OZF12" s="248"/>
      <c r="OZG12" s="248"/>
      <c r="OZH12" s="248"/>
      <c r="OZI12" s="248"/>
      <c r="OZJ12" s="248"/>
      <c r="OZK12" s="248"/>
      <c r="OZL12" s="248"/>
      <c r="OZM12" s="248"/>
      <c r="OZN12" s="248"/>
      <c r="OZO12" s="248"/>
      <c r="OZP12" s="248"/>
      <c r="OZQ12" s="248"/>
      <c r="OZR12" s="248"/>
      <c r="OZS12" s="248"/>
      <c r="OZT12" s="248"/>
      <c r="OZU12" s="248"/>
      <c r="OZV12" s="248"/>
      <c r="OZW12" s="248"/>
      <c r="OZX12" s="248"/>
      <c r="OZY12" s="248"/>
      <c r="OZZ12" s="248"/>
      <c r="PAA12" s="248"/>
      <c r="PAB12" s="248"/>
      <c r="PAC12" s="248"/>
      <c r="PAD12" s="248"/>
      <c r="PAE12" s="248"/>
      <c r="PAF12" s="248"/>
      <c r="PAG12" s="248"/>
      <c r="PAH12" s="248"/>
      <c r="PAI12" s="248"/>
      <c r="PAJ12" s="248"/>
      <c r="PAK12" s="248"/>
      <c r="PAL12" s="248"/>
      <c r="PAM12" s="248"/>
      <c r="PAN12" s="248"/>
      <c r="PAO12" s="248"/>
      <c r="PAP12" s="248"/>
      <c r="PAQ12" s="248"/>
      <c r="PAR12" s="248"/>
      <c r="PAS12" s="248"/>
      <c r="PAT12" s="248"/>
      <c r="PAU12" s="248"/>
      <c r="PAV12" s="248"/>
      <c r="PAW12" s="248"/>
      <c r="PAX12" s="248"/>
      <c r="PAY12" s="248"/>
      <c r="PAZ12" s="248"/>
      <c r="PBA12" s="248"/>
      <c r="PBB12" s="248"/>
      <c r="PBC12" s="248"/>
      <c r="PBD12" s="248"/>
      <c r="PBE12" s="248"/>
      <c r="PBF12" s="248"/>
      <c r="PBG12" s="248"/>
      <c r="PBH12" s="248"/>
      <c r="PBI12" s="248"/>
      <c r="PBJ12" s="248"/>
      <c r="PBK12" s="248"/>
      <c r="PBL12" s="248"/>
      <c r="PBM12" s="248"/>
      <c r="PBN12" s="248"/>
      <c r="PBO12" s="248"/>
      <c r="PBP12" s="248"/>
      <c r="PBQ12" s="248"/>
      <c r="PBR12" s="248"/>
      <c r="PBS12" s="248"/>
      <c r="PBT12" s="248"/>
      <c r="PBU12" s="248"/>
      <c r="PBV12" s="248"/>
      <c r="PBW12" s="248"/>
      <c r="PBX12" s="248"/>
      <c r="PBY12" s="248"/>
      <c r="PBZ12" s="248"/>
      <c r="PCA12" s="248"/>
      <c r="PCB12" s="248"/>
      <c r="PCC12" s="248"/>
      <c r="PCD12" s="248"/>
      <c r="PCE12" s="248"/>
      <c r="PCF12" s="248"/>
      <c r="PCG12" s="248"/>
      <c r="PCH12" s="248"/>
      <c r="PCI12" s="248"/>
      <c r="PCJ12" s="248"/>
      <c r="PCK12" s="248"/>
      <c r="PCL12" s="248"/>
      <c r="PCM12" s="248"/>
      <c r="PCN12" s="248"/>
      <c r="PCO12" s="248"/>
      <c r="PCP12" s="248"/>
      <c r="PCQ12" s="248"/>
      <c r="PCR12" s="248"/>
      <c r="PCS12" s="248"/>
      <c r="PCT12" s="248"/>
      <c r="PCU12" s="248"/>
      <c r="PCV12" s="248"/>
      <c r="PCW12" s="248"/>
      <c r="PCX12" s="248"/>
      <c r="PCY12" s="248"/>
      <c r="PCZ12" s="248"/>
      <c r="PDA12" s="248"/>
      <c r="PDB12" s="248"/>
      <c r="PDC12" s="248"/>
      <c r="PDD12" s="248"/>
      <c r="PDE12" s="248"/>
      <c r="PDF12" s="248"/>
      <c r="PDG12" s="248"/>
      <c r="PDH12" s="248"/>
      <c r="PDI12" s="248"/>
      <c r="PDJ12" s="248"/>
      <c r="PDK12" s="248"/>
      <c r="PDL12" s="248"/>
      <c r="PDM12" s="248"/>
      <c r="PDN12" s="248"/>
      <c r="PDO12" s="248"/>
      <c r="PDP12" s="248"/>
      <c r="PDQ12" s="248"/>
      <c r="PDR12" s="248"/>
      <c r="PDS12" s="248"/>
      <c r="PDT12" s="248"/>
      <c r="PDU12" s="248"/>
      <c r="PDV12" s="248"/>
      <c r="PDW12" s="248"/>
      <c r="PDX12" s="248"/>
      <c r="PDY12" s="248"/>
      <c r="PDZ12" s="248"/>
      <c r="PEA12" s="248"/>
      <c r="PEB12" s="248"/>
      <c r="PEC12" s="248"/>
      <c r="PED12" s="248"/>
      <c r="PEE12" s="248"/>
      <c r="PEF12" s="248"/>
      <c r="PEG12" s="248"/>
      <c r="PEH12" s="248"/>
      <c r="PEI12" s="248"/>
      <c r="PEJ12" s="248"/>
      <c r="PEK12" s="248"/>
      <c r="PEL12" s="248"/>
      <c r="PEM12" s="248"/>
      <c r="PEN12" s="248"/>
      <c r="PEO12" s="248"/>
      <c r="PEP12" s="248"/>
      <c r="PEQ12" s="248"/>
      <c r="PER12" s="248"/>
      <c r="PES12" s="248"/>
      <c r="PET12" s="248"/>
      <c r="PEU12" s="248"/>
      <c r="PEV12" s="248"/>
      <c r="PEW12" s="248"/>
      <c r="PEX12" s="248"/>
      <c r="PEY12" s="248"/>
      <c r="PEZ12" s="248"/>
      <c r="PFA12" s="248"/>
      <c r="PFB12" s="248"/>
      <c r="PFC12" s="248"/>
      <c r="PFD12" s="248"/>
      <c r="PFE12" s="248"/>
      <c r="PFF12" s="248"/>
      <c r="PFG12" s="248"/>
      <c r="PFH12" s="248"/>
      <c r="PFI12" s="248"/>
      <c r="PFJ12" s="248"/>
      <c r="PFK12" s="248"/>
      <c r="PFL12" s="248"/>
      <c r="PFM12" s="248"/>
      <c r="PFN12" s="248"/>
      <c r="PFO12" s="248"/>
      <c r="PFP12" s="248"/>
      <c r="PFQ12" s="248"/>
      <c r="PFR12" s="248"/>
      <c r="PFS12" s="248"/>
      <c r="PFT12" s="248"/>
      <c r="PFU12" s="248"/>
      <c r="PFV12" s="248"/>
      <c r="PFW12" s="248"/>
      <c r="PFX12" s="248"/>
      <c r="PFY12" s="248"/>
      <c r="PFZ12" s="248"/>
      <c r="PGA12" s="248"/>
      <c r="PGB12" s="248"/>
      <c r="PGC12" s="248"/>
      <c r="PGD12" s="248"/>
      <c r="PGE12" s="248"/>
      <c r="PGF12" s="248"/>
      <c r="PGG12" s="248"/>
      <c r="PGH12" s="248"/>
      <c r="PGI12" s="248"/>
      <c r="PGJ12" s="248"/>
      <c r="PGK12" s="248"/>
      <c r="PGL12" s="248"/>
      <c r="PGM12" s="248"/>
      <c r="PGN12" s="248"/>
      <c r="PGO12" s="248"/>
      <c r="PGP12" s="248"/>
      <c r="PGQ12" s="248"/>
      <c r="PGR12" s="248"/>
      <c r="PGS12" s="248"/>
      <c r="PGT12" s="248"/>
      <c r="PGU12" s="248"/>
      <c r="PGV12" s="248"/>
      <c r="PGW12" s="248"/>
      <c r="PGX12" s="248"/>
      <c r="PGY12" s="248"/>
      <c r="PGZ12" s="248"/>
      <c r="PHA12" s="248"/>
      <c r="PHB12" s="248"/>
      <c r="PHC12" s="248"/>
      <c r="PHD12" s="248"/>
      <c r="PHE12" s="248"/>
      <c r="PHF12" s="248"/>
      <c r="PHG12" s="248"/>
      <c r="PHH12" s="248"/>
      <c r="PHI12" s="248"/>
      <c r="PHJ12" s="248"/>
      <c r="PHK12" s="248"/>
      <c r="PHL12" s="248"/>
      <c r="PHM12" s="248"/>
      <c r="PHN12" s="248"/>
      <c r="PHO12" s="248"/>
      <c r="PHP12" s="248"/>
      <c r="PHQ12" s="248"/>
      <c r="PHR12" s="248"/>
      <c r="PHS12" s="248"/>
      <c r="PHT12" s="248"/>
      <c r="PHU12" s="248"/>
      <c r="PHV12" s="248"/>
      <c r="PHW12" s="248"/>
      <c r="PHX12" s="248"/>
      <c r="PHY12" s="248"/>
      <c r="PHZ12" s="248"/>
      <c r="PIA12" s="248"/>
      <c r="PIB12" s="248"/>
      <c r="PIC12" s="248"/>
      <c r="PID12" s="248"/>
      <c r="PIE12" s="248"/>
      <c r="PIF12" s="248"/>
      <c r="PIG12" s="248"/>
      <c r="PIH12" s="248"/>
      <c r="PII12" s="248"/>
      <c r="PIJ12" s="248"/>
      <c r="PIK12" s="248"/>
      <c r="PIL12" s="248"/>
      <c r="PIM12" s="248"/>
      <c r="PIN12" s="248"/>
      <c r="PIO12" s="248"/>
      <c r="PIP12" s="248"/>
      <c r="PIQ12" s="248"/>
      <c r="PIR12" s="248"/>
      <c r="PIS12" s="248"/>
      <c r="PIT12" s="248"/>
      <c r="PIU12" s="248"/>
      <c r="PIV12" s="248"/>
      <c r="PIW12" s="248"/>
      <c r="PIX12" s="248"/>
      <c r="PIY12" s="248"/>
      <c r="PIZ12" s="248"/>
      <c r="PJA12" s="248"/>
      <c r="PJB12" s="248"/>
      <c r="PJC12" s="248"/>
      <c r="PJD12" s="248"/>
      <c r="PJE12" s="248"/>
      <c r="PJF12" s="248"/>
      <c r="PJG12" s="248"/>
      <c r="PJH12" s="248"/>
      <c r="PJI12" s="248"/>
      <c r="PJJ12" s="248"/>
      <c r="PJK12" s="248"/>
      <c r="PJL12" s="248"/>
      <c r="PJM12" s="248"/>
      <c r="PJN12" s="248"/>
      <c r="PJO12" s="248"/>
      <c r="PJP12" s="248"/>
      <c r="PJQ12" s="248"/>
      <c r="PJR12" s="248"/>
      <c r="PJS12" s="248"/>
      <c r="PJT12" s="248"/>
      <c r="PJU12" s="248"/>
      <c r="PJV12" s="248"/>
      <c r="PJW12" s="248"/>
      <c r="PJX12" s="248"/>
      <c r="PJY12" s="248"/>
      <c r="PJZ12" s="248"/>
      <c r="PKA12" s="248"/>
      <c r="PKB12" s="248"/>
      <c r="PKC12" s="248"/>
      <c r="PKD12" s="248"/>
      <c r="PKE12" s="248"/>
      <c r="PKF12" s="248"/>
      <c r="PKG12" s="248"/>
      <c r="PKH12" s="248"/>
      <c r="PKI12" s="248"/>
      <c r="PKJ12" s="248"/>
      <c r="PKK12" s="248"/>
      <c r="PKL12" s="248"/>
      <c r="PKM12" s="248"/>
      <c r="PKN12" s="248"/>
      <c r="PKO12" s="248"/>
      <c r="PKP12" s="248"/>
      <c r="PKQ12" s="248"/>
      <c r="PKR12" s="248"/>
      <c r="PKS12" s="248"/>
      <c r="PKT12" s="248"/>
      <c r="PKU12" s="248"/>
      <c r="PKV12" s="248"/>
      <c r="PKW12" s="248"/>
      <c r="PKX12" s="248"/>
      <c r="PKY12" s="248"/>
      <c r="PKZ12" s="248"/>
      <c r="PLA12" s="248"/>
      <c r="PLB12" s="248"/>
      <c r="PLC12" s="248"/>
      <c r="PLD12" s="248"/>
      <c r="PLE12" s="248"/>
      <c r="PLF12" s="248"/>
      <c r="PLG12" s="248"/>
      <c r="PLH12" s="248"/>
      <c r="PLI12" s="248"/>
      <c r="PLJ12" s="248"/>
      <c r="PLK12" s="248"/>
      <c r="PLL12" s="248"/>
      <c r="PLM12" s="248"/>
      <c r="PLN12" s="248"/>
      <c r="PLO12" s="248"/>
      <c r="PLP12" s="248"/>
      <c r="PLQ12" s="248"/>
      <c r="PLR12" s="248"/>
      <c r="PLS12" s="248"/>
      <c r="PLT12" s="248"/>
      <c r="PLU12" s="248"/>
      <c r="PLV12" s="248"/>
      <c r="PLW12" s="248"/>
      <c r="PLX12" s="248"/>
      <c r="PLY12" s="248"/>
      <c r="PLZ12" s="248"/>
      <c r="PMA12" s="248"/>
      <c r="PMB12" s="248"/>
      <c r="PMC12" s="248"/>
      <c r="PMD12" s="248"/>
      <c r="PME12" s="248"/>
      <c r="PMF12" s="248"/>
      <c r="PMG12" s="248"/>
      <c r="PMH12" s="248"/>
      <c r="PMI12" s="248"/>
      <c r="PMJ12" s="248"/>
      <c r="PMK12" s="248"/>
      <c r="PML12" s="248"/>
      <c r="PMM12" s="248"/>
      <c r="PMN12" s="248"/>
      <c r="PMO12" s="248"/>
      <c r="PMP12" s="248"/>
      <c r="PMQ12" s="248"/>
      <c r="PMR12" s="248"/>
      <c r="PMS12" s="248"/>
      <c r="PMT12" s="248"/>
      <c r="PMU12" s="248"/>
      <c r="PMV12" s="248"/>
      <c r="PMW12" s="248"/>
      <c r="PMX12" s="248"/>
      <c r="PMY12" s="248"/>
      <c r="PMZ12" s="248"/>
      <c r="PNA12" s="248"/>
      <c r="PNB12" s="248"/>
      <c r="PNC12" s="248"/>
      <c r="PND12" s="248"/>
      <c r="PNE12" s="248"/>
      <c r="PNF12" s="248"/>
      <c r="PNG12" s="248"/>
      <c r="PNH12" s="248"/>
      <c r="PNI12" s="248"/>
      <c r="PNJ12" s="248"/>
      <c r="PNK12" s="248"/>
      <c r="PNL12" s="248"/>
      <c r="PNM12" s="248"/>
      <c r="PNN12" s="248"/>
      <c r="PNO12" s="248"/>
      <c r="PNP12" s="248"/>
      <c r="PNQ12" s="248"/>
      <c r="PNR12" s="248"/>
      <c r="PNS12" s="248"/>
      <c r="PNT12" s="248"/>
      <c r="PNU12" s="248"/>
      <c r="PNV12" s="248"/>
      <c r="PNW12" s="248"/>
      <c r="PNX12" s="248"/>
      <c r="PNY12" s="248"/>
      <c r="PNZ12" s="248"/>
      <c r="POA12" s="248"/>
      <c r="POB12" s="248"/>
      <c r="POC12" s="248"/>
      <c r="POD12" s="248"/>
      <c r="POE12" s="248"/>
      <c r="POF12" s="248"/>
      <c r="POG12" s="248"/>
      <c r="POH12" s="248"/>
      <c r="POI12" s="248"/>
      <c r="POJ12" s="248"/>
      <c r="POK12" s="248"/>
      <c r="POL12" s="248"/>
      <c r="POM12" s="248"/>
      <c r="PON12" s="248"/>
      <c r="POO12" s="248"/>
      <c r="POP12" s="248"/>
      <c r="POQ12" s="248"/>
      <c r="POR12" s="248"/>
      <c r="POS12" s="248"/>
      <c r="POT12" s="248"/>
      <c r="POU12" s="248"/>
      <c r="POV12" s="248"/>
      <c r="POW12" s="248"/>
      <c r="POX12" s="248"/>
      <c r="POY12" s="248"/>
      <c r="POZ12" s="248"/>
      <c r="PPA12" s="248"/>
      <c r="PPB12" s="248"/>
      <c r="PPC12" s="248"/>
      <c r="PPD12" s="248"/>
      <c r="PPE12" s="248"/>
      <c r="PPF12" s="248"/>
      <c r="PPG12" s="248"/>
      <c r="PPH12" s="248"/>
      <c r="PPI12" s="248"/>
      <c r="PPJ12" s="248"/>
      <c r="PPK12" s="248"/>
      <c r="PPL12" s="248"/>
      <c r="PPM12" s="248"/>
      <c r="PPN12" s="248"/>
      <c r="PPO12" s="248"/>
      <c r="PPP12" s="248"/>
      <c r="PPQ12" s="248"/>
      <c r="PPR12" s="248"/>
      <c r="PPS12" s="248"/>
      <c r="PPT12" s="248"/>
      <c r="PPU12" s="248"/>
      <c r="PPV12" s="248"/>
      <c r="PPW12" s="248"/>
      <c r="PPX12" s="248"/>
      <c r="PPY12" s="248"/>
      <c r="PPZ12" s="248"/>
      <c r="PQA12" s="248"/>
      <c r="PQB12" s="248"/>
      <c r="PQC12" s="248"/>
      <c r="PQD12" s="248"/>
      <c r="PQE12" s="248"/>
      <c r="PQF12" s="248"/>
      <c r="PQG12" s="248"/>
      <c r="PQH12" s="248"/>
      <c r="PQI12" s="248"/>
      <c r="PQJ12" s="248"/>
      <c r="PQK12" s="248"/>
      <c r="PQL12" s="248"/>
      <c r="PQM12" s="248"/>
      <c r="PQN12" s="248"/>
      <c r="PQO12" s="248"/>
      <c r="PQP12" s="248"/>
      <c r="PQQ12" s="248"/>
      <c r="PQR12" s="248"/>
      <c r="PQS12" s="248"/>
      <c r="PQT12" s="248"/>
      <c r="PQU12" s="248"/>
      <c r="PQV12" s="248"/>
      <c r="PQW12" s="248"/>
      <c r="PQX12" s="248"/>
      <c r="PQY12" s="248"/>
      <c r="PQZ12" s="248"/>
      <c r="PRA12" s="248"/>
      <c r="PRB12" s="248"/>
      <c r="PRC12" s="248"/>
      <c r="PRD12" s="248"/>
      <c r="PRE12" s="248"/>
      <c r="PRF12" s="248"/>
      <c r="PRG12" s="248"/>
      <c r="PRH12" s="248"/>
      <c r="PRI12" s="248"/>
      <c r="PRJ12" s="248"/>
      <c r="PRK12" s="248"/>
      <c r="PRL12" s="248"/>
      <c r="PRM12" s="248"/>
      <c r="PRN12" s="248"/>
      <c r="PRO12" s="248"/>
      <c r="PRP12" s="248"/>
      <c r="PRQ12" s="248"/>
      <c r="PRR12" s="248"/>
      <c r="PRS12" s="248"/>
      <c r="PRT12" s="248"/>
      <c r="PRU12" s="248"/>
      <c r="PRV12" s="248"/>
      <c r="PRW12" s="248"/>
      <c r="PRX12" s="248"/>
      <c r="PRY12" s="248"/>
      <c r="PRZ12" s="248"/>
      <c r="PSA12" s="248"/>
      <c r="PSB12" s="248"/>
      <c r="PSC12" s="248"/>
      <c r="PSD12" s="248"/>
      <c r="PSE12" s="248"/>
      <c r="PSF12" s="248"/>
      <c r="PSG12" s="248"/>
      <c r="PSH12" s="248"/>
      <c r="PSI12" s="248"/>
      <c r="PSJ12" s="248"/>
      <c r="PSK12" s="248"/>
      <c r="PSL12" s="248"/>
      <c r="PSM12" s="248"/>
      <c r="PSN12" s="248"/>
      <c r="PSO12" s="248"/>
      <c r="PSP12" s="248"/>
      <c r="PSQ12" s="248"/>
      <c r="PSR12" s="248"/>
      <c r="PSS12" s="248"/>
      <c r="PST12" s="248"/>
      <c r="PSU12" s="248"/>
      <c r="PSV12" s="248"/>
      <c r="PSW12" s="248"/>
      <c r="PSX12" s="248"/>
      <c r="PSY12" s="248"/>
      <c r="PSZ12" s="248"/>
      <c r="PTA12" s="248"/>
      <c r="PTB12" s="248"/>
      <c r="PTC12" s="248"/>
      <c r="PTD12" s="248"/>
      <c r="PTE12" s="248"/>
      <c r="PTF12" s="248"/>
      <c r="PTG12" s="248"/>
      <c r="PTH12" s="248"/>
      <c r="PTI12" s="248"/>
      <c r="PTJ12" s="248"/>
      <c r="PTK12" s="248"/>
      <c r="PTL12" s="248"/>
      <c r="PTM12" s="248"/>
      <c r="PTN12" s="248"/>
      <c r="PTO12" s="248"/>
      <c r="PTP12" s="248"/>
      <c r="PTQ12" s="248"/>
      <c r="PTR12" s="248"/>
      <c r="PTS12" s="248"/>
      <c r="PTT12" s="248"/>
      <c r="PTU12" s="248"/>
      <c r="PTV12" s="248"/>
      <c r="PTW12" s="248"/>
      <c r="PTX12" s="248"/>
      <c r="PTY12" s="248"/>
      <c r="PTZ12" s="248"/>
      <c r="PUA12" s="248"/>
      <c r="PUB12" s="248"/>
      <c r="PUC12" s="248"/>
      <c r="PUD12" s="248"/>
      <c r="PUE12" s="248"/>
      <c r="PUF12" s="248"/>
      <c r="PUG12" s="248"/>
      <c r="PUH12" s="248"/>
      <c r="PUI12" s="248"/>
      <c r="PUJ12" s="248"/>
      <c r="PUK12" s="248"/>
      <c r="PUL12" s="248"/>
      <c r="PUM12" s="248"/>
      <c r="PUN12" s="248"/>
      <c r="PUO12" s="248"/>
      <c r="PUP12" s="248"/>
      <c r="PUQ12" s="248"/>
      <c r="PUR12" s="248"/>
      <c r="PUS12" s="248"/>
      <c r="PUT12" s="248"/>
      <c r="PUU12" s="248"/>
      <c r="PUV12" s="248"/>
      <c r="PUW12" s="248"/>
      <c r="PUX12" s="248"/>
      <c r="PUY12" s="248"/>
      <c r="PUZ12" s="248"/>
      <c r="PVA12" s="248"/>
      <c r="PVB12" s="248"/>
      <c r="PVC12" s="248"/>
      <c r="PVD12" s="248"/>
      <c r="PVE12" s="248"/>
      <c r="PVF12" s="248"/>
      <c r="PVG12" s="248"/>
      <c r="PVH12" s="248"/>
      <c r="PVI12" s="248"/>
      <c r="PVJ12" s="248"/>
      <c r="PVK12" s="248"/>
      <c r="PVL12" s="248"/>
      <c r="PVM12" s="248"/>
      <c r="PVN12" s="248"/>
      <c r="PVO12" s="248"/>
      <c r="PVP12" s="248"/>
      <c r="PVQ12" s="248"/>
      <c r="PVR12" s="248"/>
      <c r="PVS12" s="248"/>
      <c r="PVT12" s="248"/>
      <c r="PVU12" s="248"/>
      <c r="PVV12" s="248"/>
      <c r="PVW12" s="248"/>
      <c r="PVX12" s="248"/>
      <c r="PVY12" s="248"/>
      <c r="PVZ12" s="248"/>
      <c r="PWA12" s="248"/>
      <c r="PWB12" s="248"/>
      <c r="PWC12" s="248"/>
      <c r="PWD12" s="248"/>
      <c r="PWE12" s="248"/>
      <c r="PWF12" s="248"/>
      <c r="PWG12" s="248"/>
      <c r="PWH12" s="248"/>
      <c r="PWI12" s="248"/>
      <c r="PWJ12" s="248"/>
      <c r="PWK12" s="248"/>
      <c r="PWL12" s="248"/>
      <c r="PWM12" s="248"/>
      <c r="PWN12" s="248"/>
      <c r="PWO12" s="248"/>
      <c r="PWP12" s="248"/>
      <c r="PWQ12" s="248"/>
      <c r="PWR12" s="248"/>
      <c r="PWS12" s="248"/>
      <c r="PWT12" s="248"/>
      <c r="PWU12" s="248"/>
      <c r="PWV12" s="248"/>
      <c r="PWW12" s="248"/>
      <c r="PWX12" s="248"/>
      <c r="PWY12" s="248"/>
      <c r="PWZ12" s="248"/>
      <c r="PXA12" s="248"/>
      <c r="PXB12" s="248"/>
      <c r="PXC12" s="248"/>
      <c r="PXD12" s="248"/>
      <c r="PXE12" s="248"/>
      <c r="PXF12" s="248"/>
      <c r="PXG12" s="248"/>
      <c r="PXH12" s="248"/>
      <c r="PXI12" s="248"/>
      <c r="PXJ12" s="248"/>
      <c r="PXK12" s="248"/>
      <c r="PXL12" s="248"/>
      <c r="PXM12" s="248"/>
      <c r="PXN12" s="248"/>
      <c r="PXO12" s="248"/>
      <c r="PXP12" s="248"/>
      <c r="PXQ12" s="248"/>
      <c r="PXR12" s="248"/>
      <c r="PXS12" s="248"/>
      <c r="PXT12" s="248"/>
      <c r="PXU12" s="248"/>
      <c r="PXV12" s="248"/>
      <c r="PXW12" s="248"/>
      <c r="PXX12" s="248"/>
      <c r="PXY12" s="248"/>
      <c r="PXZ12" s="248"/>
      <c r="PYA12" s="248"/>
      <c r="PYB12" s="248"/>
      <c r="PYC12" s="248"/>
      <c r="PYD12" s="248"/>
      <c r="PYE12" s="248"/>
      <c r="PYF12" s="248"/>
      <c r="PYG12" s="248"/>
      <c r="PYH12" s="248"/>
      <c r="PYI12" s="248"/>
      <c r="PYJ12" s="248"/>
      <c r="PYK12" s="248"/>
      <c r="PYL12" s="248"/>
      <c r="PYM12" s="248"/>
      <c r="PYN12" s="248"/>
      <c r="PYO12" s="248"/>
      <c r="PYP12" s="248"/>
      <c r="PYQ12" s="248"/>
      <c r="PYR12" s="248"/>
      <c r="PYS12" s="248"/>
      <c r="PYT12" s="248"/>
      <c r="PYU12" s="248"/>
      <c r="PYV12" s="248"/>
      <c r="PYW12" s="248"/>
      <c r="PYX12" s="248"/>
      <c r="PYY12" s="248"/>
      <c r="PYZ12" s="248"/>
      <c r="PZA12" s="248"/>
      <c r="PZB12" s="248"/>
      <c r="PZC12" s="248"/>
      <c r="PZD12" s="248"/>
      <c r="PZE12" s="248"/>
      <c r="PZF12" s="248"/>
      <c r="PZG12" s="248"/>
      <c r="PZH12" s="248"/>
      <c r="PZI12" s="248"/>
      <c r="PZJ12" s="248"/>
      <c r="PZK12" s="248"/>
      <c r="PZL12" s="248"/>
      <c r="PZM12" s="248"/>
      <c r="PZN12" s="248"/>
      <c r="PZO12" s="248"/>
      <c r="PZP12" s="248"/>
      <c r="PZQ12" s="248"/>
      <c r="PZR12" s="248"/>
      <c r="PZS12" s="248"/>
      <c r="PZT12" s="248"/>
      <c r="PZU12" s="248"/>
      <c r="PZV12" s="248"/>
      <c r="PZW12" s="248"/>
      <c r="PZX12" s="248"/>
      <c r="PZY12" s="248"/>
      <c r="PZZ12" s="248"/>
      <c r="QAA12" s="248"/>
      <c r="QAB12" s="248"/>
      <c r="QAC12" s="248"/>
      <c r="QAD12" s="248"/>
      <c r="QAE12" s="248"/>
      <c r="QAF12" s="248"/>
      <c r="QAG12" s="248"/>
      <c r="QAH12" s="248"/>
      <c r="QAI12" s="248"/>
      <c r="QAJ12" s="248"/>
      <c r="QAK12" s="248"/>
      <c r="QAL12" s="248"/>
      <c r="QAM12" s="248"/>
      <c r="QAN12" s="248"/>
      <c r="QAO12" s="248"/>
      <c r="QAP12" s="248"/>
      <c r="QAQ12" s="248"/>
      <c r="QAR12" s="248"/>
      <c r="QAS12" s="248"/>
      <c r="QAT12" s="248"/>
      <c r="QAU12" s="248"/>
      <c r="QAV12" s="248"/>
      <c r="QAW12" s="248"/>
      <c r="QAX12" s="248"/>
      <c r="QAY12" s="248"/>
      <c r="QAZ12" s="248"/>
      <c r="QBA12" s="248"/>
      <c r="QBB12" s="248"/>
      <c r="QBC12" s="248"/>
      <c r="QBD12" s="248"/>
      <c r="QBE12" s="248"/>
      <c r="QBF12" s="248"/>
      <c r="QBG12" s="248"/>
      <c r="QBH12" s="248"/>
      <c r="QBI12" s="248"/>
      <c r="QBJ12" s="248"/>
      <c r="QBK12" s="248"/>
      <c r="QBL12" s="248"/>
      <c r="QBM12" s="248"/>
      <c r="QBN12" s="248"/>
      <c r="QBO12" s="248"/>
      <c r="QBP12" s="248"/>
      <c r="QBQ12" s="248"/>
      <c r="QBR12" s="248"/>
      <c r="QBS12" s="248"/>
      <c r="QBT12" s="248"/>
      <c r="QBU12" s="248"/>
      <c r="QBV12" s="248"/>
      <c r="QBW12" s="248"/>
      <c r="QBX12" s="248"/>
      <c r="QBY12" s="248"/>
      <c r="QBZ12" s="248"/>
      <c r="QCA12" s="248"/>
      <c r="QCB12" s="248"/>
      <c r="QCC12" s="248"/>
      <c r="QCD12" s="248"/>
      <c r="QCE12" s="248"/>
      <c r="QCF12" s="248"/>
      <c r="QCG12" s="248"/>
      <c r="QCH12" s="248"/>
      <c r="QCI12" s="248"/>
      <c r="QCJ12" s="248"/>
      <c r="QCK12" s="248"/>
      <c r="QCL12" s="248"/>
      <c r="QCM12" s="248"/>
      <c r="QCN12" s="248"/>
      <c r="QCO12" s="248"/>
      <c r="QCP12" s="248"/>
      <c r="QCQ12" s="248"/>
      <c r="QCR12" s="248"/>
      <c r="QCS12" s="248"/>
      <c r="QCT12" s="248"/>
      <c r="QCU12" s="248"/>
      <c r="QCV12" s="248"/>
      <c r="QCW12" s="248"/>
      <c r="QCX12" s="248"/>
      <c r="QCY12" s="248"/>
      <c r="QCZ12" s="248"/>
      <c r="QDA12" s="248"/>
      <c r="QDB12" s="248"/>
      <c r="QDC12" s="248"/>
      <c r="QDD12" s="248"/>
      <c r="QDE12" s="248"/>
      <c r="QDF12" s="248"/>
      <c r="QDG12" s="248"/>
      <c r="QDH12" s="248"/>
      <c r="QDI12" s="248"/>
      <c r="QDJ12" s="248"/>
      <c r="QDK12" s="248"/>
      <c r="QDL12" s="248"/>
      <c r="QDM12" s="248"/>
      <c r="QDN12" s="248"/>
      <c r="QDO12" s="248"/>
      <c r="QDP12" s="248"/>
      <c r="QDQ12" s="248"/>
      <c r="QDR12" s="248"/>
      <c r="QDS12" s="248"/>
      <c r="QDT12" s="248"/>
      <c r="QDU12" s="248"/>
      <c r="QDV12" s="248"/>
      <c r="QDW12" s="248"/>
      <c r="QDX12" s="248"/>
      <c r="QDY12" s="248"/>
      <c r="QDZ12" s="248"/>
      <c r="QEA12" s="248"/>
      <c r="QEB12" s="248"/>
      <c r="QEC12" s="248"/>
      <c r="QED12" s="248"/>
      <c r="QEE12" s="248"/>
      <c r="QEF12" s="248"/>
      <c r="QEG12" s="248"/>
      <c r="QEH12" s="248"/>
      <c r="QEI12" s="248"/>
      <c r="QEJ12" s="248"/>
      <c r="QEK12" s="248"/>
      <c r="QEL12" s="248"/>
      <c r="QEM12" s="248"/>
      <c r="QEN12" s="248"/>
      <c r="QEO12" s="248"/>
      <c r="QEP12" s="248"/>
      <c r="QEQ12" s="248"/>
      <c r="QER12" s="248"/>
      <c r="QES12" s="248"/>
      <c r="QET12" s="248"/>
      <c r="QEU12" s="248"/>
      <c r="QEV12" s="248"/>
      <c r="QEW12" s="248"/>
      <c r="QEX12" s="248"/>
      <c r="QEY12" s="248"/>
      <c r="QEZ12" s="248"/>
      <c r="QFA12" s="248"/>
      <c r="QFB12" s="248"/>
      <c r="QFC12" s="248"/>
      <c r="QFD12" s="248"/>
      <c r="QFE12" s="248"/>
      <c r="QFF12" s="248"/>
      <c r="QFG12" s="248"/>
      <c r="QFH12" s="248"/>
      <c r="QFI12" s="248"/>
      <c r="QFJ12" s="248"/>
      <c r="QFK12" s="248"/>
      <c r="QFL12" s="248"/>
      <c r="QFM12" s="248"/>
      <c r="QFN12" s="248"/>
      <c r="QFO12" s="248"/>
      <c r="QFP12" s="248"/>
      <c r="QFQ12" s="248"/>
      <c r="QFR12" s="248"/>
      <c r="QFS12" s="248"/>
      <c r="QFT12" s="248"/>
      <c r="QFU12" s="248"/>
      <c r="QFV12" s="248"/>
      <c r="QFW12" s="248"/>
      <c r="QFX12" s="248"/>
      <c r="QFY12" s="248"/>
      <c r="QFZ12" s="248"/>
      <c r="QGA12" s="248"/>
      <c r="QGB12" s="248"/>
      <c r="QGC12" s="248"/>
      <c r="QGD12" s="248"/>
      <c r="QGE12" s="248"/>
      <c r="QGF12" s="248"/>
      <c r="QGG12" s="248"/>
      <c r="QGH12" s="248"/>
      <c r="QGI12" s="248"/>
      <c r="QGJ12" s="248"/>
      <c r="QGK12" s="248"/>
      <c r="QGL12" s="248"/>
      <c r="QGM12" s="248"/>
      <c r="QGN12" s="248"/>
      <c r="QGO12" s="248"/>
      <c r="QGP12" s="248"/>
      <c r="QGQ12" s="248"/>
      <c r="QGR12" s="248"/>
      <c r="QGS12" s="248"/>
      <c r="QGT12" s="248"/>
      <c r="QGU12" s="248"/>
      <c r="QGV12" s="248"/>
      <c r="QGW12" s="248"/>
      <c r="QGX12" s="248"/>
      <c r="QGY12" s="248"/>
      <c r="QGZ12" s="248"/>
      <c r="QHA12" s="248"/>
      <c r="QHB12" s="248"/>
      <c r="QHC12" s="248"/>
      <c r="QHD12" s="248"/>
      <c r="QHE12" s="248"/>
      <c r="QHF12" s="248"/>
      <c r="QHG12" s="248"/>
      <c r="QHH12" s="248"/>
      <c r="QHI12" s="248"/>
      <c r="QHJ12" s="248"/>
      <c r="QHK12" s="248"/>
      <c r="QHL12" s="248"/>
      <c r="QHM12" s="248"/>
      <c r="QHN12" s="248"/>
      <c r="QHO12" s="248"/>
      <c r="QHP12" s="248"/>
      <c r="QHQ12" s="248"/>
      <c r="QHR12" s="248"/>
      <c r="QHS12" s="248"/>
      <c r="QHT12" s="248"/>
      <c r="QHU12" s="248"/>
      <c r="QHV12" s="248"/>
      <c r="QHW12" s="248"/>
      <c r="QHX12" s="248"/>
      <c r="QHY12" s="248"/>
      <c r="QHZ12" s="248"/>
      <c r="QIA12" s="248"/>
      <c r="QIB12" s="248"/>
      <c r="QIC12" s="248"/>
      <c r="QID12" s="248"/>
      <c r="QIE12" s="248"/>
      <c r="QIF12" s="248"/>
      <c r="QIG12" s="248"/>
      <c r="QIH12" s="248"/>
      <c r="QII12" s="248"/>
      <c r="QIJ12" s="248"/>
      <c r="QIK12" s="248"/>
      <c r="QIL12" s="248"/>
      <c r="QIM12" s="248"/>
      <c r="QIN12" s="248"/>
      <c r="QIO12" s="248"/>
      <c r="QIP12" s="248"/>
      <c r="QIQ12" s="248"/>
      <c r="QIR12" s="248"/>
      <c r="QIS12" s="248"/>
      <c r="QIT12" s="248"/>
      <c r="QIU12" s="248"/>
      <c r="QIV12" s="248"/>
      <c r="QIW12" s="248"/>
      <c r="QIX12" s="248"/>
      <c r="QIY12" s="248"/>
      <c r="QIZ12" s="248"/>
      <c r="QJA12" s="248"/>
      <c r="QJB12" s="248"/>
      <c r="QJC12" s="248"/>
      <c r="QJD12" s="248"/>
      <c r="QJE12" s="248"/>
      <c r="QJF12" s="248"/>
      <c r="QJG12" s="248"/>
      <c r="QJH12" s="248"/>
      <c r="QJI12" s="248"/>
      <c r="QJJ12" s="248"/>
      <c r="QJK12" s="248"/>
      <c r="QJL12" s="248"/>
      <c r="QJM12" s="248"/>
      <c r="QJN12" s="248"/>
      <c r="QJO12" s="248"/>
      <c r="QJP12" s="248"/>
      <c r="QJQ12" s="248"/>
      <c r="QJR12" s="248"/>
      <c r="QJS12" s="248"/>
      <c r="QJT12" s="248"/>
      <c r="QJU12" s="248"/>
      <c r="QJV12" s="248"/>
      <c r="QJW12" s="248"/>
      <c r="QJX12" s="248"/>
      <c r="QJY12" s="248"/>
      <c r="QJZ12" s="248"/>
      <c r="QKA12" s="248"/>
      <c r="QKB12" s="248"/>
      <c r="QKC12" s="248"/>
      <c r="QKD12" s="248"/>
      <c r="QKE12" s="248"/>
      <c r="QKF12" s="248"/>
      <c r="QKG12" s="248"/>
      <c r="QKH12" s="248"/>
      <c r="QKI12" s="248"/>
      <c r="QKJ12" s="248"/>
      <c r="QKK12" s="248"/>
      <c r="QKL12" s="248"/>
      <c r="QKM12" s="248"/>
      <c r="QKN12" s="248"/>
      <c r="QKO12" s="248"/>
      <c r="QKP12" s="248"/>
      <c r="QKQ12" s="248"/>
      <c r="QKR12" s="248"/>
      <c r="QKS12" s="248"/>
      <c r="QKT12" s="248"/>
      <c r="QKU12" s="248"/>
      <c r="QKV12" s="248"/>
      <c r="QKW12" s="248"/>
      <c r="QKX12" s="248"/>
      <c r="QKY12" s="248"/>
      <c r="QKZ12" s="248"/>
      <c r="QLA12" s="248"/>
      <c r="QLB12" s="248"/>
      <c r="QLC12" s="248"/>
      <c r="QLD12" s="248"/>
      <c r="QLE12" s="248"/>
      <c r="QLF12" s="248"/>
      <c r="QLG12" s="248"/>
      <c r="QLH12" s="248"/>
      <c r="QLI12" s="248"/>
      <c r="QLJ12" s="248"/>
      <c r="QLK12" s="248"/>
      <c r="QLL12" s="248"/>
      <c r="QLM12" s="248"/>
      <c r="QLN12" s="248"/>
      <c r="QLO12" s="248"/>
      <c r="QLP12" s="248"/>
      <c r="QLQ12" s="248"/>
      <c r="QLR12" s="248"/>
      <c r="QLS12" s="248"/>
      <c r="QLT12" s="248"/>
      <c r="QLU12" s="248"/>
      <c r="QLV12" s="248"/>
      <c r="QLW12" s="248"/>
      <c r="QLX12" s="248"/>
      <c r="QLY12" s="248"/>
      <c r="QLZ12" s="248"/>
      <c r="QMA12" s="248"/>
      <c r="QMB12" s="248"/>
      <c r="QMC12" s="248"/>
      <c r="QMD12" s="248"/>
      <c r="QME12" s="248"/>
      <c r="QMF12" s="248"/>
      <c r="QMG12" s="248"/>
      <c r="QMH12" s="248"/>
      <c r="QMI12" s="248"/>
      <c r="QMJ12" s="248"/>
      <c r="QMK12" s="248"/>
      <c r="QML12" s="248"/>
      <c r="QMM12" s="248"/>
      <c r="QMN12" s="248"/>
      <c r="QMO12" s="248"/>
      <c r="QMP12" s="248"/>
      <c r="QMQ12" s="248"/>
      <c r="QMR12" s="248"/>
      <c r="QMS12" s="248"/>
      <c r="QMT12" s="248"/>
      <c r="QMU12" s="248"/>
      <c r="QMV12" s="248"/>
      <c r="QMW12" s="248"/>
      <c r="QMX12" s="248"/>
      <c r="QMY12" s="248"/>
      <c r="QMZ12" s="248"/>
      <c r="QNA12" s="248"/>
      <c r="QNB12" s="248"/>
      <c r="QNC12" s="248"/>
      <c r="QND12" s="248"/>
      <c r="QNE12" s="248"/>
      <c r="QNF12" s="248"/>
      <c r="QNG12" s="248"/>
      <c r="QNH12" s="248"/>
      <c r="QNI12" s="248"/>
      <c r="QNJ12" s="248"/>
      <c r="QNK12" s="248"/>
      <c r="QNL12" s="248"/>
      <c r="QNM12" s="248"/>
      <c r="QNN12" s="248"/>
      <c r="QNO12" s="248"/>
      <c r="QNP12" s="248"/>
      <c r="QNQ12" s="248"/>
      <c r="QNR12" s="248"/>
      <c r="QNS12" s="248"/>
      <c r="QNT12" s="248"/>
      <c r="QNU12" s="248"/>
      <c r="QNV12" s="248"/>
      <c r="QNW12" s="248"/>
      <c r="QNX12" s="248"/>
      <c r="QNY12" s="248"/>
      <c r="QNZ12" s="248"/>
      <c r="QOA12" s="248"/>
      <c r="QOB12" s="248"/>
      <c r="QOC12" s="248"/>
      <c r="QOD12" s="248"/>
      <c r="QOE12" s="248"/>
      <c r="QOF12" s="248"/>
      <c r="QOG12" s="248"/>
      <c r="QOH12" s="248"/>
      <c r="QOI12" s="248"/>
      <c r="QOJ12" s="248"/>
      <c r="QOK12" s="248"/>
      <c r="QOL12" s="248"/>
      <c r="QOM12" s="248"/>
      <c r="QON12" s="248"/>
      <c r="QOO12" s="248"/>
      <c r="QOP12" s="248"/>
      <c r="QOQ12" s="248"/>
      <c r="QOR12" s="248"/>
      <c r="QOS12" s="248"/>
      <c r="QOT12" s="248"/>
      <c r="QOU12" s="248"/>
      <c r="QOV12" s="248"/>
      <c r="QOW12" s="248"/>
      <c r="QOX12" s="248"/>
      <c r="QOY12" s="248"/>
      <c r="QOZ12" s="248"/>
      <c r="QPA12" s="248"/>
      <c r="QPB12" s="248"/>
      <c r="QPC12" s="248"/>
      <c r="QPD12" s="248"/>
      <c r="QPE12" s="248"/>
      <c r="QPF12" s="248"/>
      <c r="QPG12" s="248"/>
      <c r="QPH12" s="248"/>
      <c r="QPI12" s="248"/>
      <c r="QPJ12" s="248"/>
      <c r="QPK12" s="248"/>
      <c r="QPL12" s="248"/>
      <c r="QPM12" s="248"/>
      <c r="QPN12" s="248"/>
      <c r="QPO12" s="248"/>
      <c r="QPP12" s="248"/>
      <c r="QPQ12" s="248"/>
      <c r="QPR12" s="248"/>
      <c r="QPS12" s="248"/>
      <c r="QPT12" s="248"/>
      <c r="QPU12" s="248"/>
      <c r="QPV12" s="248"/>
      <c r="QPW12" s="248"/>
      <c r="QPX12" s="248"/>
      <c r="QPY12" s="248"/>
      <c r="QPZ12" s="248"/>
      <c r="QQA12" s="248"/>
      <c r="QQB12" s="248"/>
      <c r="QQC12" s="248"/>
      <c r="QQD12" s="248"/>
      <c r="QQE12" s="248"/>
      <c r="QQF12" s="248"/>
      <c r="QQG12" s="248"/>
      <c r="QQH12" s="248"/>
      <c r="QQI12" s="248"/>
      <c r="QQJ12" s="248"/>
      <c r="QQK12" s="248"/>
      <c r="QQL12" s="248"/>
      <c r="QQM12" s="248"/>
      <c r="QQN12" s="248"/>
      <c r="QQO12" s="248"/>
      <c r="QQP12" s="248"/>
      <c r="QQQ12" s="248"/>
      <c r="QQR12" s="248"/>
      <c r="QQS12" s="248"/>
      <c r="QQT12" s="248"/>
      <c r="QQU12" s="248"/>
      <c r="QQV12" s="248"/>
      <c r="QQW12" s="248"/>
      <c r="QQX12" s="248"/>
      <c r="QQY12" s="248"/>
      <c r="QQZ12" s="248"/>
      <c r="QRA12" s="248"/>
      <c r="QRB12" s="248"/>
      <c r="QRC12" s="248"/>
      <c r="QRD12" s="248"/>
      <c r="QRE12" s="248"/>
      <c r="QRF12" s="248"/>
      <c r="QRG12" s="248"/>
      <c r="QRH12" s="248"/>
      <c r="QRI12" s="248"/>
      <c r="QRJ12" s="248"/>
      <c r="QRK12" s="248"/>
      <c r="QRL12" s="248"/>
      <c r="QRM12" s="248"/>
      <c r="QRN12" s="248"/>
      <c r="QRO12" s="248"/>
      <c r="QRP12" s="248"/>
      <c r="QRQ12" s="248"/>
      <c r="QRR12" s="248"/>
      <c r="QRS12" s="248"/>
      <c r="QRT12" s="248"/>
      <c r="QRU12" s="248"/>
      <c r="QRV12" s="248"/>
      <c r="QRW12" s="248"/>
      <c r="QRX12" s="248"/>
      <c r="QRY12" s="248"/>
      <c r="QRZ12" s="248"/>
      <c r="QSA12" s="248"/>
      <c r="QSB12" s="248"/>
      <c r="QSC12" s="248"/>
      <c r="QSD12" s="248"/>
      <c r="QSE12" s="248"/>
      <c r="QSF12" s="248"/>
      <c r="QSG12" s="248"/>
      <c r="QSH12" s="248"/>
      <c r="QSI12" s="248"/>
      <c r="QSJ12" s="248"/>
      <c r="QSK12" s="248"/>
      <c r="QSL12" s="248"/>
      <c r="QSM12" s="248"/>
      <c r="QSN12" s="248"/>
      <c r="QSO12" s="248"/>
      <c r="QSP12" s="248"/>
      <c r="QSQ12" s="248"/>
      <c r="QSR12" s="248"/>
      <c r="QSS12" s="248"/>
      <c r="QST12" s="248"/>
      <c r="QSU12" s="248"/>
      <c r="QSV12" s="248"/>
      <c r="QSW12" s="248"/>
      <c r="QSX12" s="248"/>
      <c r="QSY12" s="248"/>
      <c r="QSZ12" s="248"/>
      <c r="QTA12" s="248"/>
      <c r="QTB12" s="248"/>
      <c r="QTC12" s="248"/>
      <c r="QTD12" s="248"/>
      <c r="QTE12" s="248"/>
      <c r="QTF12" s="248"/>
      <c r="QTG12" s="248"/>
      <c r="QTH12" s="248"/>
      <c r="QTI12" s="248"/>
      <c r="QTJ12" s="248"/>
      <c r="QTK12" s="248"/>
      <c r="QTL12" s="248"/>
      <c r="QTM12" s="248"/>
      <c r="QTN12" s="248"/>
      <c r="QTO12" s="248"/>
      <c r="QTP12" s="248"/>
      <c r="QTQ12" s="248"/>
      <c r="QTR12" s="248"/>
      <c r="QTS12" s="248"/>
      <c r="QTT12" s="248"/>
      <c r="QTU12" s="248"/>
      <c r="QTV12" s="248"/>
      <c r="QTW12" s="248"/>
      <c r="QTX12" s="248"/>
      <c r="QTY12" s="248"/>
      <c r="QTZ12" s="248"/>
      <c r="QUA12" s="248"/>
      <c r="QUB12" s="248"/>
      <c r="QUC12" s="248"/>
      <c r="QUD12" s="248"/>
      <c r="QUE12" s="248"/>
      <c r="QUF12" s="248"/>
      <c r="QUG12" s="248"/>
      <c r="QUH12" s="248"/>
      <c r="QUI12" s="248"/>
      <c r="QUJ12" s="248"/>
      <c r="QUK12" s="248"/>
      <c r="QUL12" s="248"/>
      <c r="QUM12" s="248"/>
      <c r="QUN12" s="248"/>
      <c r="QUO12" s="248"/>
      <c r="QUP12" s="248"/>
      <c r="QUQ12" s="248"/>
      <c r="QUR12" s="248"/>
      <c r="QUS12" s="248"/>
      <c r="QUT12" s="248"/>
      <c r="QUU12" s="248"/>
      <c r="QUV12" s="248"/>
      <c r="QUW12" s="248"/>
      <c r="QUX12" s="248"/>
      <c r="QUY12" s="248"/>
      <c r="QUZ12" s="248"/>
      <c r="QVA12" s="248"/>
      <c r="QVB12" s="248"/>
      <c r="QVC12" s="248"/>
      <c r="QVD12" s="248"/>
      <c r="QVE12" s="248"/>
      <c r="QVF12" s="248"/>
      <c r="QVG12" s="248"/>
      <c r="QVH12" s="248"/>
      <c r="QVI12" s="248"/>
      <c r="QVJ12" s="248"/>
      <c r="QVK12" s="248"/>
      <c r="QVL12" s="248"/>
      <c r="QVM12" s="248"/>
      <c r="QVN12" s="248"/>
      <c r="QVO12" s="248"/>
      <c r="QVP12" s="248"/>
      <c r="QVQ12" s="248"/>
      <c r="QVR12" s="248"/>
      <c r="QVS12" s="248"/>
      <c r="QVT12" s="248"/>
      <c r="QVU12" s="248"/>
      <c r="QVV12" s="248"/>
      <c r="QVW12" s="248"/>
      <c r="QVX12" s="248"/>
      <c r="QVY12" s="248"/>
      <c r="QVZ12" s="248"/>
      <c r="QWA12" s="248"/>
      <c r="QWB12" s="248"/>
      <c r="QWC12" s="248"/>
      <c r="QWD12" s="248"/>
      <c r="QWE12" s="248"/>
      <c r="QWF12" s="248"/>
      <c r="QWG12" s="248"/>
      <c r="QWH12" s="248"/>
      <c r="QWI12" s="248"/>
      <c r="QWJ12" s="248"/>
      <c r="QWK12" s="248"/>
      <c r="QWL12" s="248"/>
      <c r="QWM12" s="248"/>
      <c r="QWN12" s="248"/>
      <c r="QWO12" s="248"/>
      <c r="QWP12" s="248"/>
      <c r="QWQ12" s="248"/>
      <c r="QWR12" s="248"/>
      <c r="QWS12" s="248"/>
      <c r="QWT12" s="248"/>
      <c r="QWU12" s="248"/>
      <c r="QWV12" s="248"/>
      <c r="QWW12" s="248"/>
      <c r="QWX12" s="248"/>
      <c r="QWY12" s="248"/>
      <c r="QWZ12" s="248"/>
      <c r="QXA12" s="248"/>
      <c r="QXB12" s="248"/>
      <c r="QXC12" s="248"/>
      <c r="QXD12" s="248"/>
      <c r="QXE12" s="248"/>
      <c r="QXF12" s="248"/>
      <c r="QXG12" s="248"/>
      <c r="QXH12" s="248"/>
      <c r="QXI12" s="248"/>
      <c r="QXJ12" s="248"/>
      <c r="QXK12" s="248"/>
      <c r="QXL12" s="248"/>
      <c r="QXM12" s="248"/>
      <c r="QXN12" s="248"/>
      <c r="QXO12" s="248"/>
      <c r="QXP12" s="248"/>
      <c r="QXQ12" s="248"/>
      <c r="QXR12" s="248"/>
      <c r="QXS12" s="248"/>
      <c r="QXT12" s="248"/>
      <c r="QXU12" s="248"/>
      <c r="QXV12" s="248"/>
      <c r="QXW12" s="248"/>
      <c r="QXX12" s="248"/>
      <c r="QXY12" s="248"/>
      <c r="QXZ12" s="248"/>
      <c r="QYA12" s="248"/>
      <c r="QYB12" s="248"/>
      <c r="QYC12" s="248"/>
      <c r="QYD12" s="248"/>
      <c r="QYE12" s="248"/>
      <c r="QYF12" s="248"/>
      <c r="QYG12" s="248"/>
      <c r="QYH12" s="248"/>
      <c r="QYI12" s="248"/>
      <c r="QYJ12" s="248"/>
      <c r="QYK12" s="248"/>
      <c r="QYL12" s="248"/>
      <c r="QYM12" s="248"/>
      <c r="QYN12" s="248"/>
      <c r="QYO12" s="248"/>
      <c r="QYP12" s="248"/>
      <c r="QYQ12" s="248"/>
      <c r="QYR12" s="248"/>
      <c r="QYS12" s="248"/>
      <c r="QYT12" s="248"/>
      <c r="QYU12" s="248"/>
      <c r="QYV12" s="248"/>
      <c r="QYW12" s="248"/>
      <c r="QYX12" s="248"/>
      <c r="QYY12" s="248"/>
      <c r="QYZ12" s="248"/>
      <c r="QZA12" s="248"/>
      <c r="QZB12" s="248"/>
      <c r="QZC12" s="248"/>
      <c r="QZD12" s="248"/>
      <c r="QZE12" s="248"/>
      <c r="QZF12" s="248"/>
      <c r="QZG12" s="248"/>
      <c r="QZH12" s="248"/>
      <c r="QZI12" s="248"/>
      <c r="QZJ12" s="248"/>
      <c r="QZK12" s="248"/>
      <c r="QZL12" s="248"/>
      <c r="QZM12" s="248"/>
      <c r="QZN12" s="248"/>
      <c r="QZO12" s="248"/>
      <c r="QZP12" s="248"/>
      <c r="QZQ12" s="248"/>
      <c r="QZR12" s="248"/>
      <c r="QZS12" s="248"/>
      <c r="QZT12" s="248"/>
      <c r="QZU12" s="248"/>
      <c r="QZV12" s="248"/>
      <c r="QZW12" s="248"/>
      <c r="QZX12" s="248"/>
      <c r="QZY12" s="248"/>
      <c r="QZZ12" s="248"/>
      <c r="RAA12" s="248"/>
      <c r="RAB12" s="248"/>
      <c r="RAC12" s="248"/>
      <c r="RAD12" s="248"/>
      <c r="RAE12" s="248"/>
      <c r="RAF12" s="248"/>
      <c r="RAG12" s="248"/>
      <c r="RAH12" s="248"/>
      <c r="RAI12" s="248"/>
      <c r="RAJ12" s="248"/>
      <c r="RAK12" s="248"/>
      <c r="RAL12" s="248"/>
      <c r="RAM12" s="248"/>
      <c r="RAN12" s="248"/>
      <c r="RAO12" s="248"/>
      <c r="RAP12" s="248"/>
      <c r="RAQ12" s="248"/>
      <c r="RAR12" s="248"/>
      <c r="RAS12" s="248"/>
      <c r="RAT12" s="248"/>
      <c r="RAU12" s="248"/>
      <c r="RAV12" s="248"/>
      <c r="RAW12" s="248"/>
      <c r="RAX12" s="248"/>
      <c r="RAY12" s="248"/>
      <c r="RAZ12" s="248"/>
      <c r="RBA12" s="248"/>
      <c r="RBB12" s="248"/>
      <c r="RBC12" s="248"/>
      <c r="RBD12" s="248"/>
      <c r="RBE12" s="248"/>
      <c r="RBF12" s="248"/>
      <c r="RBG12" s="248"/>
      <c r="RBH12" s="248"/>
      <c r="RBI12" s="248"/>
      <c r="RBJ12" s="248"/>
      <c r="RBK12" s="248"/>
      <c r="RBL12" s="248"/>
      <c r="RBM12" s="248"/>
      <c r="RBN12" s="248"/>
      <c r="RBO12" s="248"/>
      <c r="RBP12" s="248"/>
      <c r="RBQ12" s="248"/>
      <c r="RBR12" s="248"/>
      <c r="RBS12" s="248"/>
      <c r="RBT12" s="248"/>
      <c r="RBU12" s="248"/>
      <c r="RBV12" s="248"/>
      <c r="RBW12" s="248"/>
      <c r="RBX12" s="248"/>
      <c r="RBY12" s="248"/>
      <c r="RBZ12" s="248"/>
      <c r="RCA12" s="248"/>
      <c r="RCB12" s="248"/>
      <c r="RCC12" s="248"/>
      <c r="RCD12" s="248"/>
      <c r="RCE12" s="248"/>
      <c r="RCF12" s="248"/>
      <c r="RCG12" s="248"/>
      <c r="RCH12" s="248"/>
      <c r="RCI12" s="248"/>
      <c r="RCJ12" s="248"/>
      <c r="RCK12" s="248"/>
      <c r="RCL12" s="248"/>
      <c r="RCM12" s="248"/>
      <c r="RCN12" s="248"/>
      <c r="RCO12" s="248"/>
      <c r="RCP12" s="248"/>
      <c r="RCQ12" s="248"/>
      <c r="RCR12" s="248"/>
      <c r="RCS12" s="248"/>
      <c r="RCT12" s="248"/>
      <c r="RCU12" s="248"/>
      <c r="RCV12" s="248"/>
      <c r="RCW12" s="248"/>
      <c r="RCX12" s="248"/>
      <c r="RCY12" s="248"/>
      <c r="RCZ12" s="248"/>
      <c r="RDA12" s="248"/>
      <c r="RDB12" s="248"/>
      <c r="RDC12" s="248"/>
      <c r="RDD12" s="248"/>
      <c r="RDE12" s="248"/>
      <c r="RDF12" s="248"/>
      <c r="RDG12" s="248"/>
      <c r="RDH12" s="248"/>
      <c r="RDI12" s="248"/>
      <c r="RDJ12" s="248"/>
      <c r="RDK12" s="248"/>
      <c r="RDL12" s="248"/>
      <c r="RDM12" s="248"/>
      <c r="RDN12" s="248"/>
      <c r="RDO12" s="248"/>
      <c r="RDP12" s="248"/>
      <c r="RDQ12" s="248"/>
      <c r="RDR12" s="248"/>
      <c r="RDS12" s="248"/>
      <c r="RDT12" s="248"/>
      <c r="RDU12" s="248"/>
      <c r="RDV12" s="248"/>
      <c r="RDW12" s="248"/>
      <c r="RDX12" s="248"/>
      <c r="RDY12" s="248"/>
      <c r="RDZ12" s="248"/>
      <c r="REA12" s="248"/>
      <c r="REB12" s="248"/>
      <c r="REC12" s="248"/>
      <c r="RED12" s="248"/>
      <c r="REE12" s="248"/>
      <c r="REF12" s="248"/>
      <c r="REG12" s="248"/>
      <c r="REH12" s="248"/>
      <c r="REI12" s="248"/>
      <c r="REJ12" s="248"/>
      <c r="REK12" s="248"/>
      <c r="REL12" s="248"/>
      <c r="REM12" s="248"/>
      <c r="REN12" s="248"/>
      <c r="REO12" s="248"/>
      <c r="REP12" s="248"/>
      <c r="REQ12" s="248"/>
      <c r="RER12" s="248"/>
      <c r="RES12" s="248"/>
      <c r="RET12" s="248"/>
      <c r="REU12" s="248"/>
      <c r="REV12" s="248"/>
      <c r="REW12" s="248"/>
      <c r="REX12" s="248"/>
      <c r="REY12" s="248"/>
      <c r="REZ12" s="248"/>
      <c r="RFA12" s="248"/>
      <c r="RFB12" s="248"/>
      <c r="RFC12" s="248"/>
      <c r="RFD12" s="248"/>
      <c r="RFE12" s="248"/>
      <c r="RFF12" s="248"/>
      <c r="RFG12" s="248"/>
      <c r="RFH12" s="248"/>
      <c r="RFI12" s="248"/>
      <c r="RFJ12" s="248"/>
      <c r="RFK12" s="248"/>
      <c r="RFL12" s="248"/>
      <c r="RFM12" s="248"/>
      <c r="RFN12" s="248"/>
      <c r="RFO12" s="248"/>
      <c r="RFP12" s="248"/>
      <c r="RFQ12" s="248"/>
      <c r="RFR12" s="248"/>
      <c r="RFS12" s="248"/>
      <c r="RFT12" s="248"/>
      <c r="RFU12" s="248"/>
      <c r="RFV12" s="248"/>
      <c r="RFW12" s="248"/>
      <c r="RFX12" s="248"/>
      <c r="RFY12" s="248"/>
      <c r="RFZ12" s="248"/>
      <c r="RGA12" s="248"/>
      <c r="RGB12" s="248"/>
      <c r="RGC12" s="248"/>
      <c r="RGD12" s="248"/>
      <c r="RGE12" s="248"/>
      <c r="RGF12" s="248"/>
      <c r="RGG12" s="248"/>
      <c r="RGH12" s="248"/>
      <c r="RGI12" s="248"/>
      <c r="RGJ12" s="248"/>
      <c r="RGK12" s="248"/>
      <c r="RGL12" s="248"/>
      <c r="RGM12" s="248"/>
      <c r="RGN12" s="248"/>
      <c r="RGO12" s="248"/>
      <c r="RGP12" s="248"/>
      <c r="RGQ12" s="248"/>
      <c r="RGR12" s="248"/>
      <c r="RGS12" s="248"/>
      <c r="RGT12" s="248"/>
      <c r="RGU12" s="248"/>
      <c r="RGV12" s="248"/>
      <c r="RGW12" s="248"/>
      <c r="RGX12" s="248"/>
      <c r="RGY12" s="248"/>
      <c r="RGZ12" s="248"/>
      <c r="RHA12" s="248"/>
      <c r="RHB12" s="248"/>
      <c r="RHC12" s="248"/>
      <c r="RHD12" s="248"/>
      <c r="RHE12" s="248"/>
      <c r="RHF12" s="248"/>
      <c r="RHG12" s="248"/>
      <c r="RHH12" s="248"/>
      <c r="RHI12" s="248"/>
      <c r="RHJ12" s="248"/>
      <c r="RHK12" s="248"/>
      <c r="RHL12" s="248"/>
      <c r="RHM12" s="248"/>
      <c r="RHN12" s="248"/>
      <c r="RHO12" s="248"/>
      <c r="RHP12" s="248"/>
      <c r="RHQ12" s="248"/>
      <c r="RHR12" s="248"/>
      <c r="RHS12" s="248"/>
      <c r="RHT12" s="248"/>
      <c r="RHU12" s="248"/>
      <c r="RHV12" s="248"/>
      <c r="RHW12" s="248"/>
      <c r="RHX12" s="248"/>
      <c r="RHY12" s="248"/>
      <c r="RHZ12" s="248"/>
      <c r="RIA12" s="248"/>
      <c r="RIB12" s="248"/>
      <c r="RIC12" s="248"/>
      <c r="RID12" s="248"/>
      <c r="RIE12" s="248"/>
      <c r="RIF12" s="248"/>
      <c r="RIG12" s="248"/>
      <c r="RIH12" s="248"/>
      <c r="RII12" s="248"/>
      <c r="RIJ12" s="248"/>
      <c r="RIK12" s="248"/>
      <c r="RIL12" s="248"/>
      <c r="RIM12" s="248"/>
      <c r="RIN12" s="248"/>
      <c r="RIO12" s="248"/>
      <c r="RIP12" s="248"/>
      <c r="RIQ12" s="248"/>
      <c r="RIR12" s="248"/>
      <c r="RIS12" s="248"/>
      <c r="RIT12" s="248"/>
      <c r="RIU12" s="248"/>
      <c r="RIV12" s="248"/>
      <c r="RIW12" s="248"/>
      <c r="RIX12" s="248"/>
      <c r="RIY12" s="248"/>
      <c r="RIZ12" s="248"/>
      <c r="RJA12" s="248"/>
      <c r="RJB12" s="248"/>
      <c r="RJC12" s="248"/>
      <c r="RJD12" s="248"/>
      <c r="RJE12" s="248"/>
      <c r="RJF12" s="248"/>
      <c r="RJG12" s="248"/>
      <c r="RJH12" s="248"/>
      <c r="RJI12" s="248"/>
      <c r="RJJ12" s="248"/>
      <c r="RJK12" s="248"/>
      <c r="RJL12" s="248"/>
      <c r="RJM12" s="248"/>
      <c r="RJN12" s="248"/>
      <c r="RJO12" s="248"/>
      <c r="RJP12" s="248"/>
      <c r="RJQ12" s="248"/>
      <c r="RJR12" s="248"/>
      <c r="RJS12" s="248"/>
      <c r="RJT12" s="248"/>
      <c r="RJU12" s="248"/>
      <c r="RJV12" s="248"/>
      <c r="RJW12" s="248"/>
      <c r="RJX12" s="248"/>
      <c r="RJY12" s="248"/>
      <c r="RJZ12" s="248"/>
      <c r="RKA12" s="248"/>
      <c r="RKB12" s="248"/>
      <c r="RKC12" s="248"/>
      <c r="RKD12" s="248"/>
      <c r="RKE12" s="248"/>
      <c r="RKF12" s="248"/>
      <c r="RKG12" s="248"/>
      <c r="RKH12" s="248"/>
      <c r="RKI12" s="248"/>
      <c r="RKJ12" s="248"/>
      <c r="RKK12" s="248"/>
      <c r="RKL12" s="248"/>
      <c r="RKM12" s="248"/>
      <c r="RKN12" s="248"/>
      <c r="RKO12" s="248"/>
      <c r="RKP12" s="248"/>
      <c r="RKQ12" s="248"/>
      <c r="RKR12" s="248"/>
      <c r="RKS12" s="248"/>
      <c r="RKT12" s="248"/>
      <c r="RKU12" s="248"/>
      <c r="RKV12" s="248"/>
      <c r="RKW12" s="248"/>
      <c r="RKX12" s="248"/>
      <c r="RKY12" s="248"/>
      <c r="RKZ12" s="248"/>
      <c r="RLA12" s="248"/>
      <c r="RLB12" s="248"/>
      <c r="RLC12" s="248"/>
      <c r="RLD12" s="248"/>
      <c r="RLE12" s="248"/>
      <c r="RLF12" s="248"/>
      <c r="RLG12" s="248"/>
      <c r="RLH12" s="248"/>
      <c r="RLI12" s="248"/>
      <c r="RLJ12" s="248"/>
      <c r="RLK12" s="248"/>
      <c r="RLL12" s="248"/>
      <c r="RLM12" s="248"/>
      <c r="RLN12" s="248"/>
      <c r="RLO12" s="248"/>
      <c r="RLP12" s="248"/>
      <c r="RLQ12" s="248"/>
      <c r="RLR12" s="248"/>
      <c r="RLS12" s="248"/>
      <c r="RLT12" s="248"/>
      <c r="RLU12" s="248"/>
      <c r="RLV12" s="248"/>
      <c r="RLW12" s="248"/>
      <c r="RLX12" s="248"/>
      <c r="RLY12" s="248"/>
      <c r="RLZ12" s="248"/>
      <c r="RMA12" s="248"/>
      <c r="RMB12" s="248"/>
      <c r="RMC12" s="248"/>
      <c r="RMD12" s="248"/>
      <c r="RME12" s="248"/>
      <c r="RMF12" s="248"/>
      <c r="RMG12" s="248"/>
      <c r="RMH12" s="248"/>
      <c r="RMI12" s="248"/>
      <c r="RMJ12" s="248"/>
      <c r="RMK12" s="248"/>
      <c r="RML12" s="248"/>
      <c r="RMM12" s="248"/>
      <c r="RMN12" s="248"/>
      <c r="RMO12" s="248"/>
      <c r="RMP12" s="248"/>
      <c r="RMQ12" s="248"/>
      <c r="RMR12" s="248"/>
      <c r="RMS12" s="248"/>
      <c r="RMT12" s="248"/>
      <c r="RMU12" s="248"/>
      <c r="RMV12" s="248"/>
      <c r="RMW12" s="248"/>
      <c r="RMX12" s="248"/>
      <c r="RMY12" s="248"/>
      <c r="RMZ12" s="248"/>
      <c r="RNA12" s="248"/>
      <c r="RNB12" s="248"/>
      <c r="RNC12" s="248"/>
      <c r="RND12" s="248"/>
      <c r="RNE12" s="248"/>
      <c r="RNF12" s="248"/>
      <c r="RNG12" s="248"/>
      <c r="RNH12" s="248"/>
      <c r="RNI12" s="248"/>
      <c r="RNJ12" s="248"/>
      <c r="RNK12" s="248"/>
      <c r="RNL12" s="248"/>
      <c r="RNM12" s="248"/>
      <c r="RNN12" s="248"/>
      <c r="RNO12" s="248"/>
      <c r="RNP12" s="248"/>
      <c r="RNQ12" s="248"/>
      <c r="RNR12" s="248"/>
      <c r="RNS12" s="248"/>
      <c r="RNT12" s="248"/>
      <c r="RNU12" s="248"/>
      <c r="RNV12" s="248"/>
      <c r="RNW12" s="248"/>
      <c r="RNX12" s="248"/>
      <c r="RNY12" s="248"/>
      <c r="RNZ12" s="248"/>
      <c r="ROA12" s="248"/>
      <c r="ROB12" s="248"/>
      <c r="ROC12" s="248"/>
      <c r="ROD12" s="248"/>
      <c r="ROE12" s="248"/>
      <c r="ROF12" s="248"/>
      <c r="ROG12" s="248"/>
      <c r="ROH12" s="248"/>
      <c r="ROI12" s="248"/>
      <c r="ROJ12" s="248"/>
      <c r="ROK12" s="248"/>
      <c r="ROL12" s="248"/>
      <c r="ROM12" s="248"/>
      <c r="RON12" s="248"/>
      <c r="ROO12" s="248"/>
      <c r="ROP12" s="248"/>
      <c r="ROQ12" s="248"/>
      <c r="ROR12" s="248"/>
      <c r="ROS12" s="248"/>
      <c r="ROT12" s="248"/>
      <c r="ROU12" s="248"/>
      <c r="ROV12" s="248"/>
      <c r="ROW12" s="248"/>
      <c r="ROX12" s="248"/>
      <c r="ROY12" s="248"/>
      <c r="ROZ12" s="248"/>
      <c r="RPA12" s="248"/>
      <c r="RPB12" s="248"/>
      <c r="RPC12" s="248"/>
      <c r="RPD12" s="248"/>
      <c r="RPE12" s="248"/>
      <c r="RPF12" s="248"/>
      <c r="RPG12" s="248"/>
      <c r="RPH12" s="248"/>
      <c r="RPI12" s="248"/>
      <c r="RPJ12" s="248"/>
      <c r="RPK12" s="248"/>
      <c r="RPL12" s="248"/>
      <c r="RPM12" s="248"/>
      <c r="RPN12" s="248"/>
      <c r="RPO12" s="248"/>
      <c r="RPP12" s="248"/>
      <c r="RPQ12" s="248"/>
      <c r="RPR12" s="248"/>
      <c r="RPS12" s="248"/>
      <c r="RPT12" s="248"/>
      <c r="RPU12" s="248"/>
      <c r="RPV12" s="248"/>
      <c r="RPW12" s="248"/>
      <c r="RPX12" s="248"/>
      <c r="RPY12" s="248"/>
      <c r="RPZ12" s="248"/>
      <c r="RQA12" s="248"/>
      <c r="RQB12" s="248"/>
      <c r="RQC12" s="248"/>
      <c r="RQD12" s="248"/>
      <c r="RQE12" s="248"/>
      <c r="RQF12" s="248"/>
      <c r="RQG12" s="248"/>
      <c r="RQH12" s="248"/>
      <c r="RQI12" s="248"/>
      <c r="RQJ12" s="248"/>
      <c r="RQK12" s="248"/>
      <c r="RQL12" s="248"/>
      <c r="RQM12" s="248"/>
      <c r="RQN12" s="248"/>
      <c r="RQO12" s="248"/>
      <c r="RQP12" s="248"/>
      <c r="RQQ12" s="248"/>
      <c r="RQR12" s="248"/>
      <c r="RQS12" s="248"/>
      <c r="RQT12" s="248"/>
      <c r="RQU12" s="248"/>
      <c r="RQV12" s="248"/>
      <c r="RQW12" s="248"/>
      <c r="RQX12" s="248"/>
      <c r="RQY12" s="248"/>
      <c r="RQZ12" s="248"/>
      <c r="RRA12" s="248"/>
      <c r="RRB12" s="248"/>
      <c r="RRC12" s="248"/>
      <c r="RRD12" s="248"/>
      <c r="RRE12" s="248"/>
      <c r="RRF12" s="248"/>
      <c r="RRG12" s="248"/>
      <c r="RRH12" s="248"/>
      <c r="RRI12" s="248"/>
      <c r="RRJ12" s="248"/>
      <c r="RRK12" s="248"/>
      <c r="RRL12" s="248"/>
      <c r="RRM12" s="248"/>
      <c r="RRN12" s="248"/>
      <c r="RRO12" s="248"/>
      <c r="RRP12" s="248"/>
      <c r="RRQ12" s="248"/>
      <c r="RRR12" s="248"/>
      <c r="RRS12" s="248"/>
      <c r="RRT12" s="248"/>
      <c r="RRU12" s="248"/>
      <c r="RRV12" s="248"/>
      <c r="RRW12" s="248"/>
      <c r="RRX12" s="248"/>
      <c r="RRY12" s="248"/>
      <c r="RRZ12" s="248"/>
      <c r="RSA12" s="248"/>
      <c r="RSB12" s="248"/>
      <c r="RSC12" s="248"/>
      <c r="RSD12" s="248"/>
      <c r="RSE12" s="248"/>
      <c r="RSF12" s="248"/>
      <c r="RSG12" s="248"/>
      <c r="RSH12" s="248"/>
      <c r="RSI12" s="248"/>
      <c r="RSJ12" s="248"/>
      <c r="RSK12" s="248"/>
      <c r="RSL12" s="248"/>
      <c r="RSM12" s="248"/>
      <c r="RSN12" s="248"/>
      <c r="RSO12" s="248"/>
      <c r="RSP12" s="248"/>
      <c r="RSQ12" s="248"/>
      <c r="RSR12" s="248"/>
      <c r="RSS12" s="248"/>
      <c r="RST12" s="248"/>
      <c r="RSU12" s="248"/>
      <c r="RSV12" s="248"/>
      <c r="RSW12" s="248"/>
      <c r="RSX12" s="248"/>
      <c r="RSY12" s="248"/>
      <c r="RSZ12" s="248"/>
      <c r="RTA12" s="248"/>
      <c r="RTB12" s="248"/>
      <c r="RTC12" s="248"/>
      <c r="RTD12" s="248"/>
      <c r="RTE12" s="248"/>
      <c r="RTF12" s="248"/>
      <c r="RTG12" s="248"/>
      <c r="RTH12" s="248"/>
      <c r="RTI12" s="248"/>
      <c r="RTJ12" s="248"/>
      <c r="RTK12" s="248"/>
      <c r="RTL12" s="248"/>
      <c r="RTM12" s="248"/>
      <c r="RTN12" s="248"/>
      <c r="RTO12" s="248"/>
      <c r="RTP12" s="248"/>
      <c r="RTQ12" s="248"/>
      <c r="RTR12" s="248"/>
      <c r="RTS12" s="248"/>
      <c r="RTT12" s="248"/>
      <c r="RTU12" s="248"/>
      <c r="RTV12" s="248"/>
      <c r="RTW12" s="248"/>
      <c r="RTX12" s="248"/>
      <c r="RTY12" s="248"/>
      <c r="RTZ12" s="248"/>
      <c r="RUA12" s="248"/>
      <c r="RUB12" s="248"/>
      <c r="RUC12" s="248"/>
      <c r="RUD12" s="248"/>
      <c r="RUE12" s="248"/>
      <c r="RUF12" s="248"/>
      <c r="RUG12" s="248"/>
      <c r="RUH12" s="248"/>
      <c r="RUI12" s="248"/>
      <c r="RUJ12" s="248"/>
      <c r="RUK12" s="248"/>
      <c r="RUL12" s="248"/>
      <c r="RUM12" s="248"/>
      <c r="RUN12" s="248"/>
      <c r="RUO12" s="248"/>
      <c r="RUP12" s="248"/>
      <c r="RUQ12" s="248"/>
      <c r="RUR12" s="248"/>
      <c r="RUS12" s="248"/>
      <c r="RUT12" s="248"/>
      <c r="RUU12" s="248"/>
      <c r="RUV12" s="248"/>
      <c r="RUW12" s="248"/>
      <c r="RUX12" s="248"/>
      <c r="RUY12" s="248"/>
      <c r="RUZ12" s="248"/>
      <c r="RVA12" s="248"/>
      <c r="RVB12" s="248"/>
      <c r="RVC12" s="248"/>
      <c r="RVD12" s="248"/>
      <c r="RVE12" s="248"/>
      <c r="RVF12" s="248"/>
      <c r="RVG12" s="248"/>
      <c r="RVH12" s="248"/>
      <c r="RVI12" s="248"/>
      <c r="RVJ12" s="248"/>
      <c r="RVK12" s="248"/>
      <c r="RVL12" s="248"/>
      <c r="RVM12" s="248"/>
      <c r="RVN12" s="248"/>
      <c r="RVO12" s="248"/>
      <c r="RVP12" s="248"/>
      <c r="RVQ12" s="248"/>
      <c r="RVR12" s="248"/>
      <c r="RVS12" s="248"/>
      <c r="RVT12" s="248"/>
      <c r="RVU12" s="248"/>
      <c r="RVV12" s="248"/>
      <c r="RVW12" s="248"/>
      <c r="RVX12" s="248"/>
      <c r="RVY12" s="248"/>
      <c r="RVZ12" s="248"/>
      <c r="RWA12" s="248"/>
      <c r="RWB12" s="248"/>
      <c r="RWC12" s="248"/>
      <c r="RWD12" s="248"/>
      <c r="RWE12" s="248"/>
      <c r="RWF12" s="248"/>
      <c r="RWG12" s="248"/>
      <c r="RWH12" s="248"/>
      <c r="RWI12" s="248"/>
      <c r="RWJ12" s="248"/>
      <c r="RWK12" s="248"/>
      <c r="RWL12" s="248"/>
      <c r="RWM12" s="248"/>
      <c r="RWN12" s="248"/>
      <c r="RWO12" s="248"/>
      <c r="RWP12" s="248"/>
      <c r="RWQ12" s="248"/>
      <c r="RWR12" s="248"/>
      <c r="RWS12" s="248"/>
      <c r="RWT12" s="248"/>
      <c r="RWU12" s="248"/>
      <c r="RWV12" s="248"/>
      <c r="RWW12" s="248"/>
      <c r="RWX12" s="248"/>
      <c r="RWY12" s="248"/>
      <c r="RWZ12" s="248"/>
      <c r="RXA12" s="248"/>
      <c r="RXB12" s="248"/>
      <c r="RXC12" s="248"/>
      <c r="RXD12" s="248"/>
      <c r="RXE12" s="248"/>
      <c r="RXF12" s="248"/>
      <c r="RXG12" s="248"/>
      <c r="RXH12" s="248"/>
      <c r="RXI12" s="248"/>
      <c r="RXJ12" s="248"/>
      <c r="RXK12" s="248"/>
      <c r="RXL12" s="248"/>
      <c r="RXM12" s="248"/>
      <c r="RXN12" s="248"/>
      <c r="RXO12" s="248"/>
      <c r="RXP12" s="248"/>
      <c r="RXQ12" s="248"/>
      <c r="RXR12" s="248"/>
      <c r="RXS12" s="248"/>
      <c r="RXT12" s="248"/>
      <c r="RXU12" s="248"/>
      <c r="RXV12" s="248"/>
      <c r="RXW12" s="248"/>
      <c r="RXX12" s="248"/>
      <c r="RXY12" s="248"/>
      <c r="RXZ12" s="248"/>
      <c r="RYA12" s="248"/>
      <c r="RYB12" s="248"/>
      <c r="RYC12" s="248"/>
      <c r="RYD12" s="248"/>
      <c r="RYE12" s="248"/>
      <c r="RYF12" s="248"/>
      <c r="RYG12" s="248"/>
      <c r="RYH12" s="248"/>
      <c r="RYI12" s="248"/>
      <c r="RYJ12" s="248"/>
      <c r="RYK12" s="248"/>
      <c r="RYL12" s="248"/>
      <c r="RYM12" s="248"/>
      <c r="RYN12" s="248"/>
      <c r="RYO12" s="248"/>
      <c r="RYP12" s="248"/>
      <c r="RYQ12" s="248"/>
      <c r="RYR12" s="248"/>
      <c r="RYS12" s="248"/>
      <c r="RYT12" s="248"/>
      <c r="RYU12" s="248"/>
      <c r="RYV12" s="248"/>
      <c r="RYW12" s="248"/>
      <c r="RYX12" s="248"/>
      <c r="RYY12" s="248"/>
      <c r="RYZ12" s="248"/>
      <c r="RZA12" s="248"/>
      <c r="RZB12" s="248"/>
      <c r="RZC12" s="248"/>
      <c r="RZD12" s="248"/>
      <c r="RZE12" s="248"/>
      <c r="RZF12" s="248"/>
      <c r="RZG12" s="248"/>
      <c r="RZH12" s="248"/>
      <c r="RZI12" s="248"/>
      <c r="RZJ12" s="248"/>
      <c r="RZK12" s="248"/>
      <c r="RZL12" s="248"/>
      <c r="RZM12" s="248"/>
      <c r="RZN12" s="248"/>
      <c r="RZO12" s="248"/>
      <c r="RZP12" s="248"/>
      <c r="RZQ12" s="248"/>
      <c r="RZR12" s="248"/>
      <c r="RZS12" s="248"/>
      <c r="RZT12" s="248"/>
      <c r="RZU12" s="248"/>
      <c r="RZV12" s="248"/>
      <c r="RZW12" s="248"/>
      <c r="RZX12" s="248"/>
      <c r="RZY12" s="248"/>
      <c r="RZZ12" s="248"/>
      <c r="SAA12" s="248"/>
      <c r="SAB12" s="248"/>
      <c r="SAC12" s="248"/>
      <c r="SAD12" s="248"/>
      <c r="SAE12" s="248"/>
      <c r="SAF12" s="248"/>
      <c r="SAG12" s="248"/>
      <c r="SAH12" s="248"/>
      <c r="SAI12" s="248"/>
      <c r="SAJ12" s="248"/>
      <c r="SAK12" s="248"/>
      <c r="SAL12" s="248"/>
      <c r="SAM12" s="248"/>
      <c r="SAN12" s="248"/>
      <c r="SAO12" s="248"/>
      <c r="SAP12" s="248"/>
      <c r="SAQ12" s="248"/>
      <c r="SAR12" s="248"/>
      <c r="SAS12" s="248"/>
      <c r="SAT12" s="248"/>
      <c r="SAU12" s="248"/>
      <c r="SAV12" s="248"/>
      <c r="SAW12" s="248"/>
      <c r="SAX12" s="248"/>
      <c r="SAY12" s="248"/>
      <c r="SAZ12" s="248"/>
      <c r="SBA12" s="248"/>
      <c r="SBB12" s="248"/>
      <c r="SBC12" s="248"/>
      <c r="SBD12" s="248"/>
      <c r="SBE12" s="248"/>
      <c r="SBF12" s="248"/>
      <c r="SBG12" s="248"/>
      <c r="SBH12" s="248"/>
      <c r="SBI12" s="248"/>
      <c r="SBJ12" s="248"/>
      <c r="SBK12" s="248"/>
      <c r="SBL12" s="248"/>
      <c r="SBM12" s="248"/>
      <c r="SBN12" s="248"/>
      <c r="SBO12" s="248"/>
      <c r="SBP12" s="248"/>
      <c r="SBQ12" s="248"/>
      <c r="SBR12" s="248"/>
      <c r="SBS12" s="248"/>
      <c r="SBT12" s="248"/>
      <c r="SBU12" s="248"/>
      <c r="SBV12" s="248"/>
      <c r="SBW12" s="248"/>
      <c r="SBX12" s="248"/>
      <c r="SBY12" s="248"/>
      <c r="SBZ12" s="248"/>
      <c r="SCA12" s="248"/>
      <c r="SCB12" s="248"/>
      <c r="SCC12" s="248"/>
      <c r="SCD12" s="248"/>
      <c r="SCE12" s="248"/>
      <c r="SCF12" s="248"/>
      <c r="SCG12" s="248"/>
      <c r="SCH12" s="248"/>
      <c r="SCI12" s="248"/>
      <c r="SCJ12" s="248"/>
      <c r="SCK12" s="248"/>
      <c r="SCL12" s="248"/>
      <c r="SCM12" s="248"/>
      <c r="SCN12" s="248"/>
      <c r="SCO12" s="248"/>
      <c r="SCP12" s="248"/>
      <c r="SCQ12" s="248"/>
      <c r="SCR12" s="248"/>
      <c r="SCS12" s="248"/>
      <c r="SCT12" s="248"/>
      <c r="SCU12" s="248"/>
      <c r="SCV12" s="248"/>
      <c r="SCW12" s="248"/>
      <c r="SCX12" s="248"/>
      <c r="SCY12" s="248"/>
      <c r="SCZ12" s="248"/>
      <c r="SDA12" s="248"/>
      <c r="SDB12" s="248"/>
      <c r="SDC12" s="248"/>
      <c r="SDD12" s="248"/>
      <c r="SDE12" s="248"/>
      <c r="SDF12" s="248"/>
      <c r="SDG12" s="248"/>
      <c r="SDH12" s="248"/>
      <c r="SDI12" s="248"/>
      <c r="SDJ12" s="248"/>
      <c r="SDK12" s="248"/>
      <c r="SDL12" s="248"/>
      <c r="SDM12" s="248"/>
      <c r="SDN12" s="248"/>
      <c r="SDO12" s="248"/>
      <c r="SDP12" s="248"/>
      <c r="SDQ12" s="248"/>
      <c r="SDR12" s="248"/>
      <c r="SDS12" s="248"/>
      <c r="SDT12" s="248"/>
      <c r="SDU12" s="248"/>
      <c r="SDV12" s="248"/>
      <c r="SDW12" s="248"/>
      <c r="SDX12" s="248"/>
      <c r="SDY12" s="248"/>
      <c r="SDZ12" s="248"/>
      <c r="SEA12" s="248"/>
      <c r="SEB12" s="248"/>
      <c r="SEC12" s="248"/>
      <c r="SED12" s="248"/>
      <c r="SEE12" s="248"/>
      <c r="SEF12" s="248"/>
      <c r="SEG12" s="248"/>
      <c r="SEH12" s="248"/>
      <c r="SEI12" s="248"/>
      <c r="SEJ12" s="248"/>
      <c r="SEK12" s="248"/>
      <c r="SEL12" s="248"/>
      <c r="SEM12" s="248"/>
      <c r="SEN12" s="248"/>
      <c r="SEO12" s="248"/>
      <c r="SEP12" s="248"/>
      <c r="SEQ12" s="248"/>
      <c r="SER12" s="248"/>
      <c r="SES12" s="248"/>
      <c r="SET12" s="248"/>
      <c r="SEU12" s="248"/>
      <c r="SEV12" s="248"/>
      <c r="SEW12" s="248"/>
      <c r="SEX12" s="248"/>
      <c r="SEY12" s="248"/>
      <c r="SEZ12" s="248"/>
      <c r="SFA12" s="248"/>
      <c r="SFB12" s="248"/>
      <c r="SFC12" s="248"/>
      <c r="SFD12" s="248"/>
      <c r="SFE12" s="248"/>
      <c r="SFF12" s="248"/>
      <c r="SFG12" s="248"/>
      <c r="SFH12" s="248"/>
      <c r="SFI12" s="248"/>
      <c r="SFJ12" s="248"/>
      <c r="SFK12" s="248"/>
      <c r="SFL12" s="248"/>
      <c r="SFM12" s="248"/>
      <c r="SFN12" s="248"/>
      <c r="SFO12" s="248"/>
      <c r="SFP12" s="248"/>
      <c r="SFQ12" s="248"/>
      <c r="SFR12" s="248"/>
      <c r="SFS12" s="248"/>
      <c r="SFT12" s="248"/>
      <c r="SFU12" s="248"/>
      <c r="SFV12" s="248"/>
      <c r="SFW12" s="248"/>
      <c r="SFX12" s="248"/>
      <c r="SFY12" s="248"/>
      <c r="SFZ12" s="248"/>
      <c r="SGA12" s="248"/>
      <c r="SGB12" s="248"/>
      <c r="SGC12" s="248"/>
      <c r="SGD12" s="248"/>
      <c r="SGE12" s="248"/>
      <c r="SGF12" s="248"/>
      <c r="SGG12" s="248"/>
      <c r="SGH12" s="248"/>
      <c r="SGI12" s="248"/>
      <c r="SGJ12" s="248"/>
      <c r="SGK12" s="248"/>
      <c r="SGL12" s="248"/>
      <c r="SGM12" s="248"/>
      <c r="SGN12" s="248"/>
      <c r="SGO12" s="248"/>
      <c r="SGP12" s="248"/>
      <c r="SGQ12" s="248"/>
      <c r="SGR12" s="248"/>
      <c r="SGS12" s="248"/>
      <c r="SGT12" s="248"/>
      <c r="SGU12" s="248"/>
      <c r="SGV12" s="248"/>
      <c r="SGW12" s="248"/>
      <c r="SGX12" s="248"/>
      <c r="SGY12" s="248"/>
      <c r="SGZ12" s="248"/>
      <c r="SHA12" s="248"/>
      <c r="SHB12" s="248"/>
      <c r="SHC12" s="248"/>
      <c r="SHD12" s="248"/>
      <c r="SHE12" s="248"/>
      <c r="SHF12" s="248"/>
      <c r="SHG12" s="248"/>
      <c r="SHH12" s="248"/>
      <c r="SHI12" s="248"/>
      <c r="SHJ12" s="248"/>
      <c r="SHK12" s="248"/>
      <c r="SHL12" s="248"/>
      <c r="SHM12" s="248"/>
      <c r="SHN12" s="248"/>
      <c r="SHO12" s="248"/>
      <c r="SHP12" s="248"/>
      <c r="SHQ12" s="248"/>
      <c r="SHR12" s="248"/>
      <c r="SHS12" s="248"/>
      <c r="SHT12" s="248"/>
      <c r="SHU12" s="248"/>
      <c r="SHV12" s="248"/>
      <c r="SHW12" s="248"/>
      <c r="SHX12" s="248"/>
      <c r="SHY12" s="248"/>
      <c r="SHZ12" s="248"/>
      <c r="SIA12" s="248"/>
      <c r="SIB12" s="248"/>
      <c r="SIC12" s="248"/>
      <c r="SID12" s="248"/>
      <c r="SIE12" s="248"/>
      <c r="SIF12" s="248"/>
      <c r="SIG12" s="248"/>
      <c r="SIH12" s="248"/>
      <c r="SII12" s="248"/>
      <c r="SIJ12" s="248"/>
      <c r="SIK12" s="248"/>
      <c r="SIL12" s="248"/>
      <c r="SIM12" s="248"/>
      <c r="SIN12" s="248"/>
      <c r="SIO12" s="248"/>
      <c r="SIP12" s="248"/>
      <c r="SIQ12" s="248"/>
      <c r="SIR12" s="248"/>
      <c r="SIS12" s="248"/>
      <c r="SIT12" s="248"/>
      <c r="SIU12" s="248"/>
      <c r="SIV12" s="248"/>
      <c r="SIW12" s="248"/>
      <c r="SIX12" s="248"/>
      <c r="SIY12" s="248"/>
      <c r="SIZ12" s="248"/>
      <c r="SJA12" s="248"/>
      <c r="SJB12" s="248"/>
      <c r="SJC12" s="248"/>
      <c r="SJD12" s="248"/>
      <c r="SJE12" s="248"/>
      <c r="SJF12" s="248"/>
      <c r="SJG12" s="248"/>
      <c r="SJH12" s="248"/>
      <c r="SJI12" s="248"/>
      <c r="SJJ12" s="248"/>
      <c r="SJK12" s="248"/>
      <c r="SJL12" s="248"/>
      <c r="SJM12" s="248"/>
      <c r="SJN12" s="248"/>
      <c r="SJO12" s="248"/>
      <c r="SJP12" s="248"/>
      <c r="SJQ12" s="248"/>
      <c r="SJR12" s="248"/>
      <c r="SJS12" s="248"/>
      <c r="SJT12" s="248"/>
      <c r="SJU12" s="248"/>
      <c r="SJV12" s="248"/>
      <c r="SJW12" s="248"/>
      <c r="SJX12" s="248"/>
      <c r="SJY12" s="248"/>
      <c r="SJZ12" s="248"/>
      <c r="SKA12" s="248"/>
      <c r="SKB12" s="248"/>
      <c r="SKC12" s="248"/>
      <c r="SKD12" s="248"/>
      <c r="SKE12" s="248"/>
      <c r="SKF12" s="248"/>
      <c r="SKG12" s="248"/>
      <c r="SKH12" s="248"/>
      <c r="SKI12" s="248"/>
      <c r="SKJ12" s="248"/>
      <c r="SKK12" s="248"/>
      <c r="SKL12" s="248"/>
      <c r="SKM12" s="248"/>
      <c r="SKN12" s="248"/>
      <c r="SKO12" s="248"/>
      <c r="SKP12" s="248"/>
      <c r="SKQ12" s="248"/>
      <c r="SKR12" s="248"/>
      <c r="SKS12" s="248"/>
      <c r="SKT12" s="248"/>
      <c r="SKU12" s="248"/>
      <c r="SKV12" s="248"/>
      <c r="SKW12" s="248"/>
      <c r="SKX12" s="248"/>
      <c r="SKY12" s="248"/>
      <c r="SKZ12" s="248"/>
      <c r="SLA12" s="248"/>
      <c r="SLB12" s="248"/>
      <c r="SLC12" s="248"/>
      <c r="SLD12" s="248"/>
      <c r="SLE12" s="248"/>
      <c r="SLF12" s="248"/>
      <c r="SLG12" s="248"/>
      <c r="SLH12" s="248"/>
      <c r="SLI12" s="248"/>
      <c r="SLJ12" s="248"/>
      <c r="SLK12" s="248"/>
      <c r="SLL12" s="248"/>
      <c r="SLM12" s="248"/>
      <c r="SLN12" s="248"/>
      <c r="SLO12" s="248"/>
      <c r="SLP12" s="248"/>
      <c r="SLQ12" s="248"/>
      <c r="SLR12" s="248"/>
      <c r="SLS12" s="248"/>
      <c r="SLT12" s="248"/>
      <c r="SLU12" s="248"/>
      <c r="SLV12" s="248"/>
      <c r="SLW12" s="248"/>
      <c r="SLX12" s="248"/>
      <c r="SLY12" s="248"/>
      <c r="SLZ12" s="248"/>
      <c r="SMA12" s="248"/>
      <c r="SMB12" s="248"/>
      <c r="SMC12" s="248"/>
      <c r="SMD12" s="248"/>
      <c r="SME12" s="248"/>
      <c r="SMF12" s="248"/>
      <c r="SMG12" s="248"/>
      <c r="SMH12" s="248"/>
      <c r="SMI12" s="248"/>
      <c r="SMJ12" s="248"/>
      <c r="SMK12" s="248"/>
      <c r="SML12" s="248"/>
      <c r="SMM12" s="248"/>
      <c r="SMN12" s="248"/>
      <c r="SMO12" s="248"/>
      <c r="SMP12" s="248"/>
      <c r="SMQ12" s="248"/>
      <c r="SMR12" s="248"/>
      <c r="SMS12" s="248"/>
      <c r="SMT12" s="248"/>
      <c r="SMU12" s="248"/>
      <c r="SMV12" s="248"/>
      <c r="SMW12" s="248"/>
      <c r="SMX12" s="248"/>
      <c r="SMY12" s="248"/>
      <c r="SMZ12" s="248"/>
      <c r="SNA12" s="248"/>
      <c r="SNB12" s="248"/>
      <c r="SNC12" s="248"/>
      <c r="SND12" s="248"/>
      <c r="SNE12" s="248"/>
      <c r="SNF12" s="248"/>
      <c r="SNG12" s="248"/>
      <c r="SNH12" s="248"/>
      <c r="SNI12" s="248"/>
      <c r="SNJ12" s="248"/>
      <c r="SNK12" s="248"/>
      <c r="SNL12" s="248"/>
      <c r="SNM12" s="248"/>
      <c r="SNN12" s="248"/>
      <c r="SNO12" s="248"/>
      <c r="SNP12" s="248"/>
      <c r="SNQ12" s="248"/>
      <c r="SNR12" s="248"/>
      <c r="SNS12" s="248"/>
      <c r="SNT12" s="248"/>
      <c r="SNU12" s="248"/>
      <c r="SNV12" s="248"/>
      <c r="SNW12" s="248"/>
      <c r="SNX12" s="248"/>
      <c r="SNY12" s="248"/>
      <c r="SNZ12" s="248"/>
      <c r="SOA12" s="248"/>
      <c r="SOB12" s="248"/>
      <c r="SOC12" s="248"/>
      <c r="SOD12" s="248"/>
      <c r="SOE12" s="248"/>
      <c r="SOF12" s="248"/>
      <c r="SOG12" s="248"/>
      <c r="SOH12" s="248"/>
      <c r="SOI12" s="248"/>
      <c r="SOJ12" s="248"/>
      <c r="SOK12" s="248"/>
      <c r="SOL12" s="248"/>
      <c r="SOM12" s="248"/>
      <c r="SON12" s="248"/>
      <c r="SOO12" s="248"/>
      <c r="SOP12" s="248"/>
      <c r="SOQ12" s="248"/>
      <c r="SOR12" s="248"/>
      <c r="SOS12" s="248"/>
      <c r="SOT12" s="248"/>
      <c r="SOU12" s="248"/>
      <c r="SOV12" s="248"/>
      <c r="SOW12" s="248"/>
      <c r="SOX12" s="248"/>
      <c r="SOY12" s="248"/>
      <c r="SOZ12" s="248"/>
      <c r="SPA12" s="248"/>
      <c r="SPB12" s="248"/>
      <c r="SPC12" s="248"/>
      <c r="SPD12" s="248"/>
      <c r="SPE12" s="248"/>
      <c r="SPF12" s="248"/>
      <c r="SPG12" s="248"/>
      <c r="SPH12" s="248"/>
      <c r="SPI12" s="248"/>
      <c r="SPJ12" s="248"/>
      <c r="SPK12" s="248"/>
      <c r="SPL12" s="248"/>
      <c r="SPM12" s="248"/>
      <c r="SPN12" s="248"/>
      <c r="SPO12" s="248"/>
      <c r="SPP12" s="248"/>
      <c r="SPQ12" s="248"/>
      <c r="SPR12" s="248"/>
      <c r="SPS12" s="248"/>
      <c r="SPT12" s="248"/>
      <c r="SPU12" s="248"/>
      <c r="SPV12" s="248"/>
      <c r="SPW12" s="248"/>
      <c r="SPX12" s="248"/>
      <c r="SPY12" s="248"/>
      <c r="SPZ12" s="248"/>
      <c r="SQA12" s="248"/>
      <c r="SQB12" s="248"/>
      <c r="SQC12" s="248"/>
      <c r="SQD12" s="248"/>
      <c r="SQE12" s="248"/>
      <c r="SQF12" s="248"/>
      <c r="SQG12" s="248"/>
      <c r="SQH12" s="248"/>
      <c r="SQI12" s="248"/>
      <c r="SQJ12" s="248"/>
      <c r="SQK12" s="248"/>
      <c r="SQL12" s="248"/>
      <c r="SQM12" s="248"/>
      <c r="SQN12" s="248"/>
      <c r="SQO12" s="248"/>
      <c r="SQP12" s="248"/>
      <c r="SQQ12" s="248"/>
      <c r="SQR12" s="248"/>
      <c r="SQS12" s="248"/>
      <c r="SQT12" s="248"/>
      <c r="SQU12" s="248"/>
      <c r="SQV12" s="248"/>
      <c r="SQW12" s="248"/>
      <c r="SQX12" s="248"/>
      <c r="SQY12" s="248"/>
      <c r="SQZ12" s="248"/>
      <c r="SRA12" s="248"/>
      <c r="SRB12" s="248"/>
      <c r="SRC12" s="248"/>
      <c r="SRD12" s="248"/>
      <c r="SRE12" s="248"/>
      <c r="SRF12" s="248"/>
      <c r="SRG12" s="248"/>
      <c r="SRH12" s="248"/>
      <c r="SRI12" s="248"/>
      <c r="SRJ12" s="248"/>
      <c r="SRK12" s="248"/>
      <c r="SRL12" s="248"/>
      <c r="SRM12" s="248"/>
      <c r="SRN12" s="248"/>
      <c r="SRO12" s="248"/>
      <c r="SRP12" s="248"/>
      <c r="SRQ12" s="248"/>
      <c r="SRR12" s="248"/>
      <c r="SRS12" s="248"/>
      <c r="SRT12" s="248"/>
      <c r="SRU12" s="248"/>
      <c r="SRV12" s="248"/>
      <c r="SRW12" s="248"/>
      <c r="SRX12" s="248"/>
      <c r="SRY12" s="248"/>
      <c r="SRZ12" s="248"/>
      <c r="SSA12" s="248"/>
      <c r="SSB12" s="248"/>
      <c r="SSC12" s="248"/>
      <c r="SSD12" s="248"/>
      <c r="SSE12" s="248"/>
      <c r="SSF12" s="248"/>
      <c r="SSG12" s="248"/>
      <c r="SSH12" s="248"/>
      <c r="SSI12" s="248"/>
      <c r="SSJ12" s="248"/>
      <c r="SSK12" s="248"/>
      <c r="SSL12" s="248"/>
      <c r="SSM12" s="248"/>
      <c r="SSN12" s="248"/>
      <c r="SSO12" s="248"/>
      <c r="SSP12" s="248"/>
      <c r="SSQ12" s="248"/>
      <c r="SSR12" s="248"/>
      <c r="SSS12" s="248"/>
      <c r="SST12" s="248"/>
      <c r="SSU12" s="248"/>
      <c r="SSV12" s="248"/>
      <c r="SSW12" s="248"/>
      <c r="SSX12" s="248"/>
      <c r="SSY12" s="248"/>
      <c r="SSZ12" s="248"/>
      <c r="STA12" s="248"/>
      <c r="STB12" s="248"/>
      <c r="STC12" s="248"/>
      <c r="STD12" s="248"/>
      <c r="STE12" s="248"/>
      <c r="STF12" s="248"/>
      <c r="STG12" s="248"/>
      <c r="STH12" s="248"/>
      <c r="STI12" s="248"/>
      <c r="STJ12" s="248"/>
      <c r="STK12" s="248"/>
      <c r="STL12" s="248"/>
      <c r="STM12" s="248"/>
      <c r="STN12" s="248"/>
      <c r="STO12" s="248"/>
      <c r="STP12" s="248"/>
      <c r="STQ12" s="248"/>
      <c r="STR12" s="248"/>
      <c r="STS12" s="248"/>
      <c r="STT12" s="248"/>
      <c r="STU12" s="248"/>
      <c r="STV12" s="248"/>
      <c r="STW12" s="248"/>
      <c r="STX12" s="248"/>
      <c r="STY12" s="248"/>
      <c r="STZ12" s="248"/>
      <c r="SUA12" s="248"/>
      <c r="SUB12" s="248"/>
      <c r="SUC12" s="248"/>
      <c r="SUD12" s="248"/>
      <c r="SUE12" s="248"/>
      <c r="SUF12" s="248"/>
      <c r="SUG12" s="248"/>
      <c r="SUH12" s="248"/>
      <c r="SUI12" s="248"/>
      <c r="SUJ12" s="248"/>
      <c r="SUK12" s="248"/>
      <c r="SUL12" s="248"/>
      <c r="SUM12" s="248"/>
      <c r="SUN12" s="248"/>
      <c r="SUO12" s="248"/>
      <c r="SUP12" s="248"/>
      <c r="SUQ12" s="248"/>
      <c r="SUR12" s="248"/>
      <c r="SUS12" s="248"/>
      <c r="SUT12" s="248"/>
      <c r="SUU12" s="248"/>
      <c r="SUV12" s="248"/>
      <c r="SUW12" s="248"/>
      <c r="SUX12" s="248"/>
      <c r="SUY12" s="248"/>
      <c r="SUZ12" s="248"/>
      <c r="SVA12" s="248"/>
      <c r="SVB12" s="248"/>
      <c r="SVC12" s="248"/>
      <c r="SVD12" s="248"/>
      <c r="SVE12" s="248"/>
      <c r="SVF12" s="248"/>
      <c r="SVG12" s="248"/>
      <c r="SVH12" s="248"/>
      <c r="SVI12" s="248"/>
      <c r="SVJ12" s="248"/>
      <c r="SVK12" s="248"/>
      <c r="SVL12" s="248"/>
      <c r="SVM12" s="248"/>
      <c r="SVN12" s="248"/>
      <c r="SVO12" s="248"/>
      <c r="SVP12" s="248"/>
      <c r="SVQ12" s="248"/>
      <c r="SVR12" s="248"/>
      <c r="SVS12" s="248"/>
      <c r="SVT12" s="248"/>
      <c r="SVU12" s="248"/>
      <c r="SVV12" s="248"/>
      <c r="SVW12" s="248"/>
      <c r="SVX12" s="248"/>
      <c r="SVY12" s="248"/>
      <c r="SVZ12" s="248"/>
      <c r="SWA12" s="248"/>
      <c r="SWB12" s="248"/>
      <c r="SWC12" s="248"/>
      <c r="SWD12" s="248"/>
      <c r="SWE12" s="248"/>
      <c r="SWF12" s="248"/>
      <c r="SWG12" s="248"/>
      <c r="SWH12" s="248"/>
      <c r="SWI12" s="248"/>
      <c r="SWJ12" s="248"/>
      <c r="SWK12" s="248"/>
      <c r="SWL12" s="248"/>
      <c r="SWM12" s="248"/>
      <c r="SWN12" s="248"/>
      <c r="SWO12" s="248"/>
      <c r="SWP12" s="248"/>
      <c r="SWQ12" s="248"/>
      <c r="SWR12" s="248"/>
      <c r="SWS12" s="248"/>
      <c r="SWT12" s="248"/>
      <c r="SWU12" s="248"/>
      <c r="SWV12" s="248"/>
      <c r="SWW12" s="248"/>
      <c r="SWX12" s="248"/>
      <c r="SWY12" s="248"/>
      <c r="SWZ12" s="248"/>
      <c r="SXA12" s="248"/>
      <c r="SXB12" s="248"/>
      <c r="SXC12" s="248"/>
      <c r="SXD12" s="248"/>
      <c r="SXE12" s="248"/>
      <c r="SXF12" s="248"/>
      <c r="SXG12" s="248"/>
      <c r="SXH12" s="248"/>
      <c r="SXI12" s="248"/>
      <c r="SXJ12" s="248"/>
      <c r="SXK12" s="248"/>
      <c r="SXL12" s="248"/>
      <c r="SXM12" s="248"/>
      <c r="SXN12" s="248"/>
      <c r="SXO12" s="248"/>
      <c r="SXP12" s="248"/>
      <c r="SXQ12" s="248"/>
      <c r="SXR12" s="248"/>
      <c r="SXS12" s="248"/>
      <c r="SXT12" s="248"/>
      <c r="SXU12" s="248"/>
      <c r="SXV12" s="248"/>
      <c r="SXW12" s="248"/>
      <c r="SXX12" s="248"/>
      <c r="SXY12" s="248"/>
      <c r="SXZ12" s="248"/>
      <c r="SYA12" s="248"/>
      <c r="SYB12" s="248"/>
      <c r="SYC12" s="248"/>
      <c r="SYD12" s="248"/>
      <c r="SYE12" s="248"/>
      <c r="SYF12" s="248"/>
      <c r="SYG12" s="248"/>
      <c r="SYH12" s="248"/>
      <c r="SYI12" s="248"/>
      <c r="SYJ12" s="248"/>
      <c r="SYK12" s="248"/>
      <c r="SYL12" s="248"/>
      <c r="SYM12" s="248"/>
      <c r="SYN12" s="248"/>
      <c r="SYO12" s="248"/>
      <c r="SYP12" s="248"/>
      <c r="SYQ12" s="248"/>
      <c r="SYR12" s="248"/>
      <c r="SYS12" s="248"/>
      <c r="SYT12" s="248"/>
      <c r="SYU12" s="248"/>
      <c r="SYV12" s="248"/>
      <c r="SYW12" s="248"/>
      <c r="SYX12" s="248"/>
      <c r="SYY12" s="248"/>
      <c r="SYZ12" s="248"/>
      <c r="SZA12" s="248"/>
      <c r="SZB12" s="248"/>
      <c r="SZC12" s="248"/>
      <c r="SZD12" s="248"/>
      <c r="SZE12" s="248"/>
      <c r="SZF12" s="248"/>
      <c r="SZG12" s="248"/>
      <c r="SZH12" s="248"/>
      <c r="SZI12" s="248"/>
      <c r="SZJ12" s="248"/>
      <c r="SZK12" s="248"/>
      <c r="SZL12" s="248"/>
      <c r="SZM12" s="248"/>
      <c r="SZN12" s="248"/>
      <c r="SZO12" s="248"/>
      <c r="SZP12" s="248"/>
      <c r="SZQ12" s="248"/>
      <c r="SZR12" s="248"/>
      <c r="SZS12" s="248"/>
      <c r="SZT12" s="248"/>
      <c r="SZU12" s="248"/>
      <c r="SZV12" s="248"/>
      <c r="SZW12" s="248"/>
      <c r="SZX12" s="248"/>
      <c r="SZY12" s="248"/>
      <c r="SZZ12" s="248"/>
      <c r="TAA12" s="248"/>
      <c r="TAB12" s="248"/>
      <c r="TAC12" s="248"/>
      <c r="TAD12" s="248"/>
      <c r="TAE12" s="248"/>
      <c r="TAF12" s="248"/>
      <c r="TAG12" s="248"/>
      <c r="TAH12" s="248"/>
      <c r="TAI12" s="248"/>
      <c r="TAJ12" s="248"/>
      <c r="TAK12" s="248"/>
      <c r="TAL12" s="248"/>
      <c r="TAM12" s="248"/>
      <c r="TAN12" s="248"/>
      <c r="TAO12" s="248"/>
      <c r="TAP12" s="248"/>
      <c r="TAQ12" s="248"/>
      <c r="TAR12" s="248"/>
      <c r="TAS12" s="248"/>
      <c r="TAT12" s="248"/>
      <c r="TAU12" s="248"/>
      <c r="TAV12" s="248"/>
      <c r="TAW12" s="248"/>
      <c r="TAX12" s="248"/>
      <c r="TAY12" s="248"/>
      <c r="TAZ12" s="248"/>
      <c r="TBA12" s="248"/>
      <c r="TBB12" s="248"/>
      <c r="TBC12" s="248"/>
      <c r="TBD12" s="248"/>
      <c r="TBE12" s="248"/>
      <c r="TBF12" s="248"/>
      <c r="TBG12" s="248"/>
      <c r="TBH12" s="248"/>
      <c r="TBI12" s="248"/>
      <c r="TBJ12" s="248"/>
      <c r="TBK12" s="248"/>
      <c r="TBL12" s="248"/>
      <c r="TBM12" s="248"/>
      <c r="TBN12" s="248"/>
      <c r="TBO12" s="248"/>
      <c r="TBP12" s="248"/>
      <c r="TBQ12" s="248"/>
      <c r="TBR12" s="248"/>
      <c r="TBS12" s="248"/>
      <c r="TBT12" s="248"/>
      <c r="TBU12" s="248"/>
      <c r="TBV12" s="248"/>
      <c r="TBW12" s="248"/>
      <c r="TBX12" s="248"/>
      <c r="TBY12" s="248"/>
      <c r="TBZ12" s="248"/>
      <c r="TCA12" s="248"/>
      <c r="TCB12" s="248"/>
      <c r="TCC12" s="248"/>
      <c r="TCD12" s="248"/>
      <c r="TCE12" s="248"/>
      <c r="TCF12" s="248"/>
      <c r="TCG12" s="248"/>
      <c r="TCH12" s="248"/>
      <c r="TCI12" s="248"/>
      <c r="TCJ12" s="248"/>
      <c r="TCK12" s="248"/>
      <c r="TCL12" s="248"/>
      <c r="TCM12" s="248"/>
      <c r="TCN12" s="248"/>
      <c r="TCO12" s="248"/>
      <c r="TCP12" s="248"/>
      <c r="TCQ12" s="248"/>
      <c r="TCR12" s="248"/>
      <c r="TCS12" s="248"/>
      <c r="TCT12" s="248"/>
      <c r="TCU12" s="248"/>
      <c r="TCV12" s="248"/>
      <c r="TCW12" s="248"/>
      <c r="TCX12" s="248"/>
      <c r="TCY12" s="248"/>
      <c r="TCZ12" s="248"/>
      <c r="TDA12" s="248"/>
      <c r="TDB12" s="248"/>
      <c r="TDC12" s="248"/>
      <c r="TDD12" s="248"/>
      <c r="TDE12" s="248"/>
      <c r="TDF12" s="248"/>
      <c r="TDG12" s="248"/>
      <c r="TDH12" s="248"/>
      <c r="TDI12" s="248"/>
      <c r="TDJ12" s="248"/>
      <c r="TDK12" s="248"/>
      <c r="TDL12" s="248"/>
      <c r="TDM12" s="248"/>
      <c r="TDN12" s="248"/>
      <c r="TDO12" s="248"/>
      <c r="TDP12" s="248"/>
      <c r="TDQ12" s="248"/>
      <c r="TDR12" s="248"/>
      <c r="TDS12" s="248"/>
      <c r="TDT12" s="248"/>
      <c r="TDU12" s="248"/>
      <c r="TDV12" s="248"/>
      <c r="TDW12" s="248"/>
      <c r="TDX12" s="248"/>
      <c r="TDY12" s="248"/>
      <c r="TDZ12" s="248"/>
      <c r="TEA12" s="248"/>
      <c r="TEB12" s="248"/>
      <c r="TEC12" s="248"/>
      <c r="TED12" s="248"/>
      <c r="TEE12" s="248"/>
      <c r="TEF12" s="248"/>
      <c r="TEG12" s="248"/>
      <c r="TEH12" s="248"/>
      <c r="TEI12" s="248"/>
      <c r="TEJ12" s="248"/>
      <c r="TEK12" s="248"/>
      <c r="TEL12" s="248"/>
      <c r="TEM12" s="248"/>
      <c r="TEN12" s="248"/>
      <c r="TEO12" s="248"/>
      <c r="TEP12" s="248"/>
      <c r="TEQ12" s="248"/>
      <c r="TER12" s="248"/>
      <c r="TES12" s="248"/>
      <c r="TET12" s="248"/>
      <c r="TEU12" s="248"/>
      <c r="TEV12" s="248"/>
      <c r="TEW12" s="248"/>
      <c r="TEX12" s="248"/>
      <c r="TEY12" s="248"/>
      <c r="TEZ12" s="248"/>
      <c r="TFA12" s="248"/>
      <c r="TFB12" s="248"/>
      <c r="TFC12" s="248"/>
      <c r="TFD12" s="248"/>
      <c r="TFE12" s="248"/>
      <c r="TFF12" s="248"/>
      <c r="TFG12" s="248"/>
      <c r="TFH12" s="248"/>
      <c r="TFI12" s="248"/>
      <c r="TFJ12" s="248"/>
      <c r="TFK12" s="248"/>
      <c r="TFL12" s="248"/>
      <c r="TFM12" s="248"/>
      <c r="TFN12" s="248"/>
      <c r="TFO12" s="248"/>
      <c r="TFP12" s="248"/>
      <c r="TFQ12" s="248"/>
      <c r="TFR12" s="248"/>
      <c r="TFS12" s="248"/>
      <c r="TFT12" s="248"/>
      <c r="TFU12" s="248"/>
      <c r="TFV12" s="248"/>
      <c r="TFW12" s="248"/>
      <c r="TFX12" s="248"/>
      <c r="TFY12" s="248"/>
      <c r="TFZ12" s="248"/>
      <c r="TGA12" s="248"/>
      <c r="TGB12" s="248"/>
      <c r="TGC12" s="248"/>
      <c r="TGD12" s="248"/>
      <c r="TGE12" s="248"/>
      <c r="TGF12" s="248"/>
      <c r="TGG12" s="248"/>
      <c r="TGH12" s="248"/>
      <c r="TGI12" s="248"/>
      <c r="TGJ12" s="248"/>
      <c r="TGK12" s="248"/>
      <c r="TGL12" s="248"/>
      <c r="TGM12" s="248"/>
      <c r="TGN12" s="248"/>
      <c r="TGO12" s="248"/>
      <c r="TGP12" s="248"/>
      <c r="TGQ12" s="248"/>
      <c r="TGR12" s="248"/>
      <c r="TGS12" s="248"/>
      <c r="TGT12" s="248"/>
      <c r="TGU12" s="248"/>
      <c r="TGV12" s="248"/>
      <c r="TGW12" s="248"/>
      <c r="TGX12" s="248"/>
      <c r="TGY12" s="248"/>
      <c r="TGZ12" s="248"/>
      <c r="THA12" s="248"/>
      <c r="THB12" s="248"/>
      <c r="THC12" s="248"/>
      <c r="THD12" s="248"/>
      <c r="THE12" s="248"/>
      <c r="THF12" s="248"/>
      <c r="THG12" s="248"/>
      <c r="THH12" s="248"/>
      <c r="THI12" s="248"/>
      <c r="THJ12" s="248"/>
      <c r="THK12" s="248"/>
      <c r="THL12" s="248"/>
      <c r="THM12" s="248"/>
      <c r="THN12" s="248"/>
      <c r="THO12" s="248"/>
      <c r="THP12" s="248"/>
      <c r="THQ12" s="248"/>
      <c r="THR12" s="248"/>
      <c r="THS12" s="248"/>
      <c r="THT12" s="248"/>
      <c r="THU12" s="248"/>
      <c r="THV12" s="248"/>
      <c r="THW12" s="248"/>
      <c r="THX12" s="248"/>
      <c r="THY12" s="248"/>
      <c r="THZ12" s="248"/>
      <c r="TIA12" s="248"/>
      <c r="TIB12" s="248"/>
      <c r="TIC12" s="248"/>
      <c r="TID12" s="248"/>
      <c r="TIE12" s="248"/>
      <c r="TIF12" s="248"/>
      <c r="TIG12" s="248"/>
      <c r="TIH12" s="248"/>
      <c r="TII12" s="248"/>
      <c r="TIJ12" s="248"/>
      <c r="TIK12" s="248"/>
      <c r="TIL12" s="248"/>
      <c r="TIM12" s="248"/>
      <c r="TIN12" s="248"/>
      <c r="TIO12" s="248"/>
      <c r="TIP12" s="248"/>
      <c r="TIQ12" s="248"/>
      <c r="TIR12" s="248"/>
      <c r="TIS12" s="248"/>
      <c r="TIT12" s="248"/>
      <c r="TIU12" s="248"/>
      <c r="TIV12" s="248"/>
      <c r="TIW12" s="248"/>
      <c r="TIX12" s="248"/>
      <c r="TIY12" s="248"/>
      <c r="TIZ12" s="248"/>
      <c r="TJA12" s="248"/>
      <c r="TJB12" s="248"/>
      <c r="TJC12" s="248"/>
      <c r="TJD12" s="248"/>
      <c r="TJE12" s="248"/>
      <c r="TJF12" s="248"/>
      <c r="TJG12" s="248"/>
      <c r="TJH12" s="248"/>
      <c r="TJI12" s="248"/>
      <c r="TJJ12" s="248"/>
      <c r="TJK12" s="248"/>
      <c r="TJL12" s="248"/>
      <c r="TJM12" s="248"/>
      <c r="TJN12" s="248"/>
      <c r="TJO12" s="248"/>
      <c r="TJP12" s="248"/>
      <c r="TJQ12" s="248"/>
      <c r="TJR12" s="248"/>
      <c r="TJS12" s="248"/>
      <c r="TJT12" s="248"/>
      <c r="TJU12" s="248"/>
      <c r="TJV12" s="248"/>
      <c r="TJW12" s="248"/>
      <c r="TJX12" s="248"/>
      <c r="TJY12" s="248"/>
      <c r="TJZ12" s="248"/>
      <c r="TKA12" s="248"/>
      <c r="TKB12" s="248"/>
      <c r="TKC12" s="248"/>
      <c r="TKD12" s="248"/>
      <c r="TKE12" s="248"/>
      <c r="TKF12" s="248"/>
      <c r="TKG12" s="248"/>
      <c r="TKH12" s="248"/>
      <c r="TKI12" s="248"/>
      <c r="TKJ12" s="248"/>
      <c r="TKK12" s="248"/>
      <c r="TKL12" s="248"/>
      <c r="TKM12" s="248"/>
      <c r="TKN12" s="248"/>
      <c r="TKO12" s="248"/>
      <c r="TKP12" s="248"/>
      <c r="TKQ12" s="248"/>
      <c r="TKR12" s="248"/>
      <c r="TKS12" s="248"/>
      <c r="TKT12" s="248"/>
      <c r="TKU12" s="248"/>
      <c r="TKV12" s="248"/>
      <c r="TKW12" s="248"/>
      <c r="TKX12" s="248"/>
      <c r="TKY12" s="248"/>
      <c r="TKZ12" s="248"/>
      <c r="TLA12" s="248"/>
      <c r="TLB12" s="248"/>
      <c r="TLC12" s="248"/>
      <c r="TLD12" s="248"/>
      <c r="TLE12" s="248"/>
      <c r="TLF12" s="248"/>
      <c r="TLG12" s="248"/>
      <c r="TLH12" s="248"/>
      <c r="TLI12" s="248"/>
      <c r="TLJ12" s="248"/>
      <c r="TLK12" s="248"/>
      <c r="TLL12" s="248"/>
      <c r="TLM12" s="248"/>
      <c r="TLN12" s="248"/>
      <c r="TLO12" s="248"/>
      <c r="TLP12" s="248"/>
      <c r="TLQ12" s="248"/>
      <c r="TLR12" s="248"/>
      <c r="TLS12" s="248"/>
      <c r="TLT12" s="248"/>
      <c r="TLU12" s="248"/>
      <c r="TLV12" s="248"/>
      <c r="TLW12" s="248"/>
      <c r="TLX12" s="248"/>
      <c r="TLY12" s="248"/>
      <c r="TLZ12" s="248"/>
      <c r="TMA12" s="248"/>
      <c r="TMB12" s="248"/>
      <c r="TMC12" s="248"/>
      <c r="TMD12" s="248"/>
      <c r="TME12" s="248"/>
      <c r="TMF12" s="248"/>
      <c r="TMG12" s="248"/>
      <c r="TMH12" s="248"/>
      <c r="TMI12" s="248"/>
      <c r="TMJ12" s="248"/>
      <c r="TMK12" s="248"/>
      <c r="TML12" s="248"/>
      <c r="TMM12" s="248"/>
      <c r="TMN12" s="248"/>
      <c r="TMO12" s="248"/>
      <c r="TMP12" s="248"/>
      <c r="TMQ12" s="248"/>
      <c r="TMR12" s="248"/>
      <c r="TMS12" s="248"/>
      <c r="TMT12" s="248"/>
      <c r="TMU12" s="248"/>
      <c r="TMV12" s="248"/>
      <c r="TMW12" s="248"/>
      <c r="TMX12" s="248"/>
      <c r="TMY12" s="248"/>
      <c r="TMZ12" s="248"/>
      <c r="TNA12" s="248"/>
      <c r="TNB12" s="248"/>
      <c r="TNC12" s="248"/>
      <c r="TND12" s="248"/>
      <c r="TNE12" s="248"/>
      <c r="TNF12" s="248"/>
      <c r="TNG12" s="248"/>
      <c r="TNH12" s="248"/>
      <c r="TNI12" s="248"/>
      <c r="TNJ12" s="248"/>
      <c r="TNK12" s="248"/>
      <c r="TNL12" s="248"/>
      <c r="TNM12" s="248"/>
      <c r="TNN12" s="248"/>
      <c r="TNO12" s="248"/>
      <c r="TNP12" s="248"/>
      <c r="TNQ12" s="248"/>
      <c r="TNR12" s="248"/>
      <c r="TNS12" s="248"/>
      <c r="TNT12" s="248"/>
      <c r="TNU12" s="248"/>
      <c r="TNV12" s="248"/>
      <c r="TNW12" s="248"/>
      <c r="TNX12" s="248"/>
      <c r="TNY12" s="248"/>
      <c r="TNZ12" s="248"/>
      <c r="TOA12" s="248"/>
      <c r="TOB12" s="248"/>
      <c r="TOC12" s="248"/>
      <c r="TOD12" s="248"/>
      <c r="TOE12" s="248"/>
      <c r="TOF12" s="248"/>
      <c r="TOG12" s="248"/>
      <c r="TOH12" s="248"/>
      <c r="TOI12" s="248"/>
      <c r="TOJ12" s="248"/>
      <c r="TOK12" s="248"/>
      <c r="TOL12" s="248"/>
      <c r="TOM12" s="248"/>
      <c r="TON12" s="248"/>
      <c r="TOO12" s="248"/>
      <c r="TOP12" s="248"/>
      <c r="TOQ12" s="248"/>
      <c r="TOR12" s="248"/>
      <c r="TOS12" s="248"/>
      <c r="TOT12" s="248"/>
      <c r="TOU12" s="248"/>
      <c r="TOV12" s="248"/>
      <c r="TOW12" s="248"/>
      <c r="TOX12" s="248"/>
      <c r="TOY12" s="248"/>
      <c r="TOZ12" s="248"/>
      <c r="TPA12" s="248"/>
      <c r="TPB12" s="248"/>
      <c r="TPC12" s="248"/>
      <c r="TPD12" s="248"/>
      <c r="TPE12" s="248"/>
      <c r="TPF12" s="248"/>
      <c r="TPG12" s="248"/>
      <c r="TPH12" s="248"/>
      <c r="TPI12" s="248"/>
      <c r="TPJ12" s="248"/>
      <c r="TPK12" s="248"/>
      <c r="TPL12" s="248"/>
      <c r="TPM12" s="248"/>
      <c r="TPN12" s="248"/>
      <c r="TPO12" s="248"/>
      <c r="TPP12" s="248"/>
      <c r="TPQ12" s="248"/>
      <c r="TPR12" s="248"/>
      <c r="TPS12" s="248"/>
      <c r="TPT12" s="248"/>
      <c r="TPU12" s="248"/>
      <c r="TPV12" s="248"/>
      <c r="TPW12" s="248"/>
      <c r="TPX12" s="248"/>
      <c r="TPY12" s="248"/>
      <c r="TPZ12" s="248"/>
      <c r="TQA12" s="248"/>
      <c r="TQB12" s="248"/>
      <c r="TQC12" s="248"/>
      <c r="TQD12" s="248"/>
      <c r="TQE12" s="248"/>
      <c r="TQF12" s="248"/>
      <c r="TQG12" s="248"/>
      <c r="TQH12" s="248"/>
      <c r="TQI12" s="248"/>
      <c r="TQJ12" s="248"/>
      <c r="TQK12" s="248"/>
      <c r="TQL12" s="248"/>
      <c r="TQM12" s="248"/>
      <c r="TQN12" s="248"/>
      <c r="TQO12" s="248"/>
      <c r="TQP12" s="248"/>
      <c r="TQQ12" s="248"/>
      <c r="TQR12" s="248"/>
      <c r="TQS12" s="248"/>
      <c r="TQT12" s="248"/>
      <c r="TQU12" s="248"/>
      <c r="TQV12" s="248"/>
      <c r="TQW12" s="248"/>
      <c r="TQX12" s="248"/>
      <c r="TQY12" s="248"/>
      <c r="TQZ12" s="248"/>
      <c r="TRA12" s="248"/>
      <c r="TRB12" s="248"/>
      <c r="TRC12" s="248"/>
      <c r="TRD12" s="248"/>
      <c r="TRE12" s="248"/>
      <c r="TRF12" s="248"/>
      <c r="TRG12" s="248"/>
      <c r="TRH12" s="248"/>
      <c r="TRI12" s="248"/>
      <c r="TRJ12" s="248"/>
      <c r="TRK12" s="248"/>
      <c r="TRL12" s="248"/>
      <c r="TRM12" s="248"/>
      <c r="TRN12" s="248"/>
      <c r="TRO12" s="248"/>
      <c r="TRP12" s="248"/>
      <c r="TRQ12" s="248"/>
      <c r="TRR12" s="248"/>
      <c r="TRS12" s="248"/>
      <c r="TRT12" s="248"/>
      <c r="TRU12" s="248"/>
      <c r="TRV12" s="248"/>
      <c r="TRW12" s="248"/>
      <c r="TRX12" s="248"/>
      <c r="TRY12" s="248"/>
      <c r="TRZ12" s="248"/>
      <c r="TSA12" s="248"/>
      <c r="TSB12" s="248"/>
      <c r="TSC12" s="248"/>
      <c r="TSD12" s="248"/>
      <c r="TSE12" s="248"/>
      <c r="TSF12" s="248"/>
      <c r="TSG12" s="248"/>
      <c r="TSH12" s="248"/>
      <c r="TSI12" s="248"/>
      <c r="TSJ12" s="248"/>
      <c r="TSK12" s="248"/>
      <c r="TSL12" s="248"/>
      <c r="TSM12" s="248"/>
      <c r="TSN12" s="248"/>
      <c r="TSO12" s="248"/>
      <c r="TSP12" s="248"/>
      <c r="TSQ12" s="248"/>
      <c r="TSR12" s="248"/>
      <c r="TSS12" s="248"/>
      <c r="TST12" s="248"/>
      <c r="TSU12" s="248"/>
      <c r="TSV12" s="248"/>
      <c r="TSW12" s="248"/>
      <c r="TSX12" s="248"/>
      <c r="TSY12" s="248"/>
      <c r="TSZ12" s="248"/>
      <c r="TTA12" s="248"/>
      <c r="TTB12" s="248"/>
      <c r="TTC12" s="248"/>
      <c r="TTD12" s="248"/>
      <c r="TTE12" s="248"/>
      <c r="TTF12" s="248"/>
      <c r="TTG12" s="248"/>
      <c r="TTH12" s="248"/>
      <c r="TTI12" s="248"/>
      <c r="TTJ12" s="248"/>
      <c r="TTK12" s="248"/>
      <c r="TTL12" s="248"/>
      <c r="TTM12" s="248"/>
      <c r="TTN12" s="248"/>
      <c r="TTO12" s="248"/>
      <c r="TTP12" s="248"/>
      <c r="TTQ12" s="248"/>
      <c r="TTR12" s="248"/>
      <c r="TTS12" s="248"/>
      <c r="TTT12" s="248"/>
      <c r="TTU12" s="248"/>
      <c r="TTV12" s="248"/>
      <c r="TTW12" s="248"/>
      <c r="TTX12" s="248"/>
      <c r="TTY12" s="248"/>
      <c r="TTZ12" s="248"/>
      <c r="TUA12" s="248"/>
      <c r="TUB12" s="248"/>
      <c r="TUC12" s="248"/>
      <c r="TUD12" s="248"/>
      <c r="TUE12" s="248"/>
      <c r="TUF12" s="248"/>
      <c r="TUG12" s="248"/>
      <c r="TUH12" s="248"/>
      <c r="TUI12" s="248"/>
      <c r="TUJ12" s="248"/>
      <c r="TUK12" s="248"/>
      <c r="TUL12" s="248"/>
      <c r="TUM12" s="248"/>
      <c r="TUN12" s="248"/>
      <c r="TUO12" s="248"/>
      <c r="TUP12" s="248"/>
      <c r="TUQ12" s="248"/>
      <c r="TUR12" s="248"/>
      <c r="TUS12" s="248"/>
      <c r="TUT12" s="248"/>
      <c r="TUU12" s="248"/>
      <c r="TUV12" s="248"/>
      <c r="TUW12" s="248"/>
      <c r="TUX12" s="248"/>
      <c r="TUY12" s="248"/>
      <c r="TUZ12" s="248"/>
      <c r="TVA12" s="248"/>
      <c r="TVB12" s="248"/>
      <c r="TVC12" s="248"/>
      <c r="TVD12" s="248"/>
      <c r="TVE12" s="248"/>
      <c r="TVF12" s="248"/>
      <c r="TVG12" s="248"/>
      <c r="TVH12" s="248"/>
      <c r="TVI12" s="248"/>
      <c r="TVJ12" s="248"/>
      <c r="TVK12" s="248"/>
      <c r="TVL12" s="248"/>
      <c r="TVM12" s="248"/>
      <c r="TVN12" s="248"/>
      <c r="TVO12" s="248"/>
      <c r="TVP12" s="248"/>
      <c r="TVQ12" s="248"/>
      <c r="TVR12" s="248"/>
      <c r="TVS12" s="248"/>
      <c r="TVT12" s="248"/>
      <c r="TVU12" s="248"/>
      <c r="TVV12" s="248"/>
      <c r="TVW12" s="248"/>
      <c r="TVX12" s="248"/>
      <c r="TVY12" s="248"/>
      <c r="TVZ12" s="248"/>
      <c r="TWA12" s="248"/>
      <c r="TWB12" s="248"/>
      <c r="TWC12" s="248"/>
      <c r="TWD12" s="248"/>
      <c r="TWE12" s="248"/>
      <c r="TWF12" s="248"/>
      <c r="TWG12" s="248"/>
      <c r="TWH12" s="248"/>
      <c r="TWI12" s="248"/>
      <c r="TWJ12" s="248"/>
      <c r="TWK12" s="248"/>
      <c r="TWL12" s="248"/>
      <c r="TWM12" s="248"/>
      <c r="TWN12" s="248"/>
      <c r="TWO12" s="248"/>
      <c r="TWP12" s="248"/>
      <c r="TWQ12" s="248"/>
      <c r="TWR12" s="248"/>
      <c r="TWS12" s="248"/>
      <c r="TWT12" s="248"/>
      <c r="TWU12" s="248"/>
      <c r="TWV12" s="248"/>
      <c r="TWW12" s="248"/>
      <c r="TWX12" s="248"/>
      <c r="TWY12" s="248"/>
      <c r="TWZ12" s="248"/>
      <c r="TXA12" s="248"/>
      <c r="TXB12" s="248"/>
      <c r="TXC12" s="248"/>
      <c r="TXD12" s="248"/>
      <c r="TXE12" s="248"/>
      <c r="TXF12" s="248"/>
      <c r="TXG12" s="248"/>
      <c r="TXH12" s="248"/>
      <c r="TXI12" s="248"/>
      <c r="TXJ12" s="248"/>
      <c r="TXK12" s="248"/>
      <c r="TXL12" s="248"/>
      <c r="TXM12" s="248"/>
      <c r="TXN12" s="248"/>
      <c r="TXO12" s="248"/>
      <c r="TXP12" s="248"/>
      <c r="TXQ12" s="248"/>
      <c r="TXR12" s="248"/>
      <c r="TXS12" s="248"/>
      <c r="TXT12" s="248"/>
      <c r="TXU12" s="248"/>
      <c r="TXV12" s="248"/>
      <c r="TXW12" s="248"/>
      <c r="TXX12" s="248"/>
      <c r="TXY12" s="248"/>
      <c r="TXZ12" s="248"/>
      <c r="TYA12" s="248"/>
      <c r="TYB12" s="248"/>
      <c r="TYC12" s="248"/>
      <c r="TYD12" s="248"/>
      <c r="TYE12" s="248"/>
      <c r="TYF12" s="248"/>
      <c r="TYG12" s="248"/>
      <c r="TYH12" s="248"/>
      <c r="TYI12" s="248"/>
      <c r="TYJ12" s="248"/>
      <c r="TYK12" s="248"/>
      <c r="TYL12" s="248"/>
      <c r="TYM12" s="248"/>
      <c r="TYN12" s="248"/>
      <c r="TYO12" s="248"/>
      <c r="TYP12" s="248"/>
      <c r="TYQ12" s="248"/>
      <c r="TYR12" s="248"/>
      <c r="TYS12" s="248"/>
      <c r="TYT12" s="248"/>
      <c r="TYU12" s="248"/>
      <c r="TYV12" s="248"/>
      <c r="TYW12" s="248"/>
      <c r="TYX12" s="248"/>
      <c r="TYY12" s="248"/>
      <c r="TYZ12" s="248"/>
      <c r="TZA12" s="248"/>
      <c r="TZB12" s="248"/>
      <c r="TZC12" s="248"/>
      <c r="TZD12" s="248"/>
      <c r="TZE12" s="248"/>
      <c r="TZF12" s="248"/>
      <c r="TZG12" s="248"/>
      <c r="TZH12" s="248"/>
      <c r="TZI12" s="248"/>
      <c r="TZJ12" s="248"/>
      <c r="TZK12" s="248"/>
      <c r="TZL12" s="248"/>
      <c r="TZM12" s="248"/>
      <c r="TZN12" s="248"/>
      <c r="TZO12" s="248"/>
      <c r="TZP12" s="248"/>
      <c r="TZQ12" s="248"/>
      <c r="TZR12" s="248"/>
      <c r="TZS12" s="248"/>
      <c r="TZT12" s="248"/>
      <c r="TZU12" s="248"/>
      <c r="TZV12" s="248"/>
      <c r="TZW12" s="248"/>
      <c r="TZX12" s="248"/>
      <c r="TZY12" s="248"/>
      <c r="TZZ12" s="248"/>
      <c r="UAA12" s="248"/>
      <c r="UAB12" s="248"/>
      <c r="UAC12" s="248"/>
      <c r="UAD12" s="248"/>
      <c r="UAE12" s="248"/>
      <c r="UAF12" s="248"/>
      <c r="UAG12" s="248"/>
      <c r="UAH12" s="248"/>
      <c r="UAI12" s="248"/>
      <c r="UAJ12" s="248"/>
      <c r="UAK12" s="248"/>
      <c r="UAL12" s="248"/>
      <c r="UAM12" s="248"/>
      <c r="UAN12" s="248"/>
      <c r="UAO12" s="248"/>
      <c r="UAP12" s="248"/>
      <c r="UAQ12" s="248"/>
      <c r="UAR12" s="248"/>
      <c r="UAS12" s="248"/>
      <c r="UAT12" s="248"/>
      <c r="UAU12" s="248"/>
      <c r="UAV12" s="248"/>
      <c r="UAW12" s="248"/>
      <c r="UAX12" s="248"/>
      <c r="UAY12" s="248"/>
      <c r="UAZ12" s="248"/>
      <c r="UBA12" s="248"/>
      <c r="UBB12" s="248"/>
      <c r="UBC12" s="248"/>
      <c r="UBD12" s="248"/>
      <c r="UBE12" s="248"/>
      <c r="UBF12" s="248"/>
      <c r="UBG12" s="248"/>
      <c r="UBH12" s="248"/>
      <c r="UBI12" s="248"/>
      <c r="UBJ12" s="248"/>
      <c r="UBK12" s="248"/>
      <c r="UBL12" s="248"/>
      <c r="UBM12" s="248"/>
      <c r="UBN12" s="248"/>
      <c r="UBO12" s="248"/>
      <c r="UBP12" s="248"/>
      <c r="UBQ12" s="248"/>
      <c r="UBR12" s="248"/>
      <c r="UBS12" s="248"/>
      <c r="UBT12" s="248"/>
      <c r="UBU12" s="248"/>
      <c r="UBV12" s="248"/>
      <c r="UBW12" s="248"/>
      <c r="UBX12" s="248"/>
      <c r="UBY12" s="248"/>
      <c r="UBZ12" s="248"/>
      <c r="UCA12" s="248"/>
      <c r="UCB12" s="248"/>
      <c r="UCC12" s="248"/>
      <c r="UCD12" s="248"/>
      <c r="UCE12" s="248"/>
      <c r="UCF12" s="248"/>
      <c r="UCG12" s="248"/>
      <c r="UCH12" s="248"/>
      <c r="UCI12" s="248"/>
      <c r="UCJ12" s="248"/>
      <c r="UCK12" s="248"/>
      <c r="UCL12" s="248"/>
      <c r="UCM12" s="248"/>
      <c r="UCN12" s="248"/>
      <c r="UCO12" s="248"/>
      <c r="UCP12" s="248"/>
      <c r="UCQ12" s="248"/>
      <c r="UCR12" s="248"/>
      <c r="UCS12" s="248"/>
      <c r="UCT12" s="248"/>
      <c r="UCU12" s="248"/>
      <c r="UCV12" s="248"/>
      <c r="UCW12" s="248"/>
      <c r="UCX12" s="248"/>
      <c r="UCY12" s="248"/>
      <c r="UCZ12" s="248"/>
      <c r="UDA12" s="248"/>
      <c r="UDB12" s="248"/>
      <c r="UDC12" s="248"/>
      <c r="UDD12" s="248"/>
      <c r="UDE12" s="248"/>
      <c r="UDF12" s="248"/>
      <c r="UDG12" s="248"/>
      <c r="UDH12" s="248"/>
      <c r="UDI12" s="248"/>
      <c r="UDJ12" s="248"/>
      <c r="UDK12" s="248"/>
      <c r="UDL12" s="248"/>
      <c r="UDM12" s="248"/>
      <c r="UDN12" s="248"/>
      <c r="UDO12" s="248"/>
      <c r="UDP12" s="248"/>
      <c r="UDQ12" s="248"/>
      <c r="UDR12" s="248"/>
      <c r="UDS12" s="248"/>
      <c r="UDT12" s="248"/>
      <c r="UDU12" s="248"/>
      <c r="UDV12" s="248"/>
      <c r="UDW12" s="248"/>
      <c r="UDX12" s="248"/>
      <c r="UDY12" s="248"/>
      <c r="UDZ12" s="248"/>
      <c r="UEA12" s="248"/>
      <c r="UEB12" s="248"/>
      <c r="UEC12" s="248"/>
      <c r="UED12" s="248"/>
      <c r="UEE12" s="248"/>
      <c r="UEF12" s="248"/>
      <c r="UEG12" s="248"/>
      <c r="UEH12" s="248"/>
      <c r="UEI12" s="248"/>
      <c r="UEJ12" s="248"/>
      <c r="UEK12" s="248"/>
      <c r="UEL12" s="248"/>
      <c r="UEM12" s="248"/>
      <c r="UEN12" s="248"/>
      <c r="UEO12" s="248"/>
      <c r="UEP12" s="248"/>
      <c r="UEQ12" s="248"/>
      <c r="UER12" s="248"/>
      <c r="UES12" s="248"/>
      <c r="UET12" s="248"/>
      <c r="UEU12" s="248"/>
      <c r="UEV12" s="248"/>
      <c r="UEW12" s="248"/>
      <c r="UEX12" s="248"/>
      <c r="UEY12" s="248"/>
      <c r="UEZ12" s="248"/>
      <c r="UFA12" s="248"/>
      <c r="UFB12" s="248"/>
      <c r="UFC12" s="248"/>
      <c r="UFD12" s="248"/>
      <c r="UFE12" s="248"/>
      <c r="UFF12" s="248"/>
      <c r="UFG12" s="248"/>
      <c r="UFH12" s="248"/>
      <c r="UFI12" s="248"/>
      <c r="UFJ12" s="248"/>
      <c r="UFK12" s="248"/>
      <c r="UFL12" s="248"/>
      <c r="UFM12" s="248"/>
      <c r="UFN12" s="248"/>
      <c r="UFO12" s="248"/>
      <c r="UFP12" s="248"/>
      <c r="UFQ12" s="248"/>
      <c r="UFR12" s="248"/>
      <c r="UFS12" s="248"/>
      <c r="UFT12" s="248"/>
      <c r="UFU12" s="248"/>
      <c r="UFV12" s="248"/>
      <c r="UFW12" s="248"/>
      <c r="UFX12" s="248"/>
      <c r="UFY12" s="248"/>
      <c r="UFZ12" s="248"/>
      <c r="UGA12" s="248"/>
      <c r="UGB12" s="248"/>
      <c r="UGC12" s="248"/>
      <c r="UGD12" s="248"/>
      <c r="UGE12" s="248"/>
      <c r="UGF12" s="248"/>
      <c r="UGG12" s="248"/>
      <c r="UGH12" s="248"/>
      <c r="UGI12" s="248"/>
      <c r="UGJ12" s="248"/>
      <c r="UGK12" s="248"/>
      <c r="UGL12" s="248"/>
      <c r="UGM12" s="248"/>
      <c r="UGN12" s="248"/>
      <c r="UGO12" s="248"/>
      <c r="UGP12" s="248"/>
      <c r="UGQ12" s="248"/>
      <c r="UGR12" s="248"/>
      <c r="UGS12" s="248"/>
      <c r="UGT12" s="248"/>
      <c r="UGU12" s="248"/>
      <c r="UGV12" s="248"/>
      <c r="UGW12" s="248"/>
      <c r="UGX12" s="248"/>
      <c r="UGY12" s="248"/>
      <c r="UGZ12" s="248"/>
      <c r="UHA12" s="248"/>
      <c r="UHB12" s="248"/>
      <c r="UHC12" s="248"/>
      <c r="UHD12" s="248"/>
      <c r="UHE12" s="248"/>
      <c r="UHF12" s="248"/>
      <c r="UHG12" s="248"/>
      <c r="UHH12" s="248"/>
      <c r="UHI12" s="248"/>
      <c r="UHJ12" s="248"/>
      <c r="UHK12" s="248"/>
      <c r="UHL12" s="248"/>
      <c r="UHM12" s="248"/>
      <c r="UHN12" s="248"/>
      <c r="UHO12" s="248"/>
      <c r="UHP12" s="248"/>
      <c r="UHQ12" s="248"/>
      <c r="UHR12" s="248"/>
      <c r="UHS12" s="248"/>
      <c r="UHT12" s="248"/>
      <c r="UHU12" s="248"/>
      <c r="UHV12" s="248"/>
      <c r="UHW12" s="248"/>
      <c r="UHX12" s="248"/>
      <c r="UHY12" s="248"/>
      <c r="UHZ12" s="248"/>
      <c r="UIA12" s="248"/>
      <c r="UIB12" s="248"/>
      <c r="UIC12" s="248"/>
      <c r="UID12" s="248"/>
      <c r="UIE12" s="248"/>
      <c r="UIF12" s="248"/>
      <c r="UIG12" s="248"/>
      <c r="UIH12" s="248"/>
      <c r="UII12" s="248"/>
      <c r="UIJ12" s="248"/>
      <c r="UIK12" s="248"/>
      <c r="UIL12" s="248"/>
      <c r="UIM12" s="248"/>
      <c r="UIN12" s="248"/>
      <c r="UIO12" s="248"/>
      <c r="UIP12" s="248"/>
      <c r="UIQ12" s="248"/>
      <c r="UIR12" s="248"/>
      <c r="UIS12" s="248"/>
      <c r="UIT12" s="248"/>
      <c r="UIU12" s="248"/>
      <c r="UIV12" s="248"/>
      <c r="UIW12" s="248"/>
      <c r="UIX12" s="248"/>
      <c r="UIY12" s="248"/>
      <c r="UIZ12" s="248"/>
      <c r="UJA12" s="248"/>
      <c r="UJB12" s="248"/>
      <c r="UJC12" s="248"/>
      <c r="UJD12" s="248"/>
      <c r="UJE12" s="248"/>
      <c r="UJF12" s="248"/>
      <c r="UJG12" s="248"/>
      <c r="UJH12" s="248"/>
      <c r="UJI12" s="248"/>
      <c r="UJJ12" s="248"/>
      <c r="UJK12" s="248"/>
      <c r="UJL12" s="248"/>
      <c r="UJM12" s="248"/>
      <c r="UJN12" s="248"/>
      <c r="UJO12" s="248"/>
      <c r="UJP12" s="248"/>
      <c r="UJQ12" s="248"/>
      <c r="UJR12" s="248"/>
      <c r="UJS12" s="248"/>
      <c r="UJT12" s="248"/>
      <c r="UJU12" s="248"/>
      <c r="UJV12" s="248"/>
      <c r="UJW12" s="248"/>
      <c r="UJX12" s="248"/>
      <c r="UJY12" s="248"/>
      <c r="UJZ12" s="248"/>
      <c r="UKA12" s="248"/>
      <c r="UKB12" s="248"/>
      <c r="UKC12" s="248"/>
      <c r="UKD12" s="248"/>
      <c r="UKE12" s="248"/>
      <c r="UKF12" s="248"/>
      <c r="UKG12" s="248"/>
      <c r="UKH12" s="248"/>
      <c r="UKI12" s="248"/>
      <c r="UKJ12" s="248"/>
      <c r="UKK12" s="248"/>
      <c r="UKL12" s="248"/>
      <c r="UKM12" s="248"/>
      <c r="UKN12" s="248"/>
      <c r="UKO12" s="248"/>
      <c r="UKP12" s="248"/>
      <c r="UKQ12" s="248"/>
      <c r="UKR12" s="248"/>
      <c r="UKS12" s="248"/>
      <c r="UKT12" s="248"/>
      <c r="UKU12" s="248"/>
      <c r="UKV12" s="248"/>
      <c r="UKW12" s="248"/>
      <c r="UKX12" s="248"/>
      <c r="UKY12" s="248"/>
      <c r="UKZ12" s="248"/>
      <c r="ULA12" s="248"/>
      <c r="ULB12" s="248"/>
      <c r="ULC12" s="248"/>
      <c r="ULD12" s="248"/>
      <c r="ULE12" s="248"/>
      <c r="ULF12" s="248"/>
      <c r="ULG12" s="248"/>
      <c r="ULH12" s="248"/>
      <c r="ULI12" s="248"/>
      <c r="ULJ12" s="248"/>
      <c r="ULK12" s="248"/>
      <c r="ULL12" s="248"/>
      <c r="ULM12" s="248"/>
      <c r="ULN12" s="248"/>
      <c r="ULO12" s="248"/>
      <c r="ULP12" s="248"/>
      <c r="ULQ12" s="248"/>
      <c r="ULR12" s="248"/>
      <c r="ULS12" s="248"/>
      <c r="ULT12" s="248"/>
      <c r="ULU12" s="248"/>
      <c r="ULV12" s="248"/>
      <c r="ULW12" s="248"/>
      <c r="ULX12" s="248"/>
      <c r="ULY12" s="248"/>
      <c r="ULZ12" s="248"/>
      <c r="UMA12" s="248"/>
      <c r="UMB12" s="248"/>
      <c r="UMC12" s="248"/>
      <c r="UMD12" s="248"/>
      <c r="UME12" s="248"/>
      <c r="UMF12" s="248"/>
      <c r="UMG12" s="248"/>
      <c r="UMH12" s="248"/>
      <c r="UMI12" s="248"/>
      <c r="UMJ12" s="248"/>
      <c r="UMK12" s="248"/>
      <c r="UML12" s="248"/>
      <c r="UMM12" s="248"/>
      <c r="UMN12" s="248"/>
      <c r="UMO12" s="248"/>
      <c r="UMP12" s="248"/>
      <c r="UMQ12" s="248"/>
      <c r="UMR12" s="248"/>
      <c r="UMS12" s="248"/>
      <c r="UMT12" s="248"/>
      <c r="UMU12" s="248"/>
      <c r="UMV12" s="248"/>
      <c r="UMW12" s="248"/>
      <c r="UMX12" s="248"/>
      <c r="UMY12" s="248"/>
      <c r="UMZ12" s="248"/>
      <c r="UNA12" s="248"/>
      <c r="UNB12" s="248"/>
      <c r="UNC12" s="248"/>
      <c r="UND12" s="248"/>
      <c r="UNE12" s="248"/>
      <c r="UNF12" s="248"/>
      <c r="UNG12" s="248"/>
      <c r="UNH12" s="248"/>
      <c r="UNI12" s="248"/>
      <c r="UNJ12" s="248"/>
      <c r="UNK12" s="248"/>
      <c r="UNL12" s="248"/>
      <c r="UNM12" s="248"/>
      <c r="UNN12" s="248"/>
      <c r="UNO12" s="248"/>
      <c r="UNP12" s="248"/>
      <c r="UNQ12" s="248"/>
      <c r="UNR12" s="248"/>
      <c r="UNS12" s="248"/>
      <c r="UNT12" s="248"/>
      <c r="UNU12" s="248"/>
      <c r="UNV12" s="248"/>
      <c r="UNW12" s="248"/>
      <c r="UNX12" s="248"/>
      <c r="UNY12" s="248"/>
      <c r="UNZ12" s="248"/>
      <c r="UOA12" s="248"/>
      <c r="UOB12" s="248"/>
      <c r="UOC12" s="248"/>
      <c r="UOD12" s="248"/>
      <c r="UOE12" s="248"/>
      <c r="UOF12" s="248"/>
      <c r="UOG12" s="248"/>
      <c r="UOH12" s="248"/>
      <c r="UOI12" s="248"/>
      <c r="UOJ12" s="248"/>
      <c r="UOK12" s="248"/>
      <c r="UOL12" s="248"/>
      <c r="UOM12" s="248"/>
      <c r="UON12" s="248"/>
      <c r="UOO12" s="248"/>
      <c r="UOP12" s="248"/>
      <c r="UOQ12" s="248"/>
      <c r="UOR12" s="248"/>
      <c r="UOS12" s="248"/>
      <c r="UOT12" s="248"/>
      <c r="UOU12" s="248"/>
      <c r="UOV12" s="248"/>
      <c r="UOW12" s="248"/>
      <c r="UOX12" s="248"/>
      <c r="UOY12" s="248"/>
      <c r="UOZ12" s="248"/>
      <c r="UPA12" s="248"/>
      <c r="UPB12" s="248"/>
      <c r="UPC12" s="248"/>
      <c r="UPD12" s="248"/>
      <c r="UPE12" s="248"/>
      <c r="UPF12" s="248"/>
      <c r="UPG12" s="248"/>
      <c r="UPH12" s="248"/>
      <c r="UPI12" s="248"/>
      <c r="UPJ12" s="248"/>
      <c r="UPK12" s="248"/>
      <c r="UPL12" s="248"/>
      <c r="UPM12" s="248"/>
      <c r="UPN12" s="248"/>
      <c r="UPO12" s="248"/>
      <c r="UPP12" s="248"/>
      <c r="UPQ12" s="248"/>
      <c r="UPR12" s="248"/>
      <c r="UPS12" s="248"/>
      <c r="UPT12" s="248"/>
      <c r="UPU12" s="248"/>
      <c r="UPV12" s="248"/>
      <c r="UPW12" s="248"/>
      <c r="UPX12" s="248"/>
      <c r="UPY12" s="248"/>
      <c r="UPZ12" s="248"/>
      <c r="UQA12" s="248"/>
      <c r="UQB12" s="248"/>
      <c r="UQC12" s="248"/>
      <c r="UQD12" s="248"/>
      <c r="UQE12" s="248"/>
      <c r="UQF12" s="248"/>
      <c r="UQG12" s="248"/>
      <c r="UQH12" s="248"/>
      <c r="UQI12" s="248"/>
      <c r="UQJ12" s="248"/>
      <c r="UQK12" s="248"/>
      <c r="UQL12" s="248"/>
      <c r="UQM12" s="248"/>
      <c r="UQN12" s="248"/>
      <c r="UQO12" s="248"/>
      <c r="UQP12" s="248"/>
      <c r="UQQ12" s="248"/>
      <c r="UQR12" s="248"/>
      <c r="UQS12" s="248"/>
      <c r="UQT12" s="248"/>
      <c r="UQU12" s="248"/>
      <c r="UQV12" s="248"/>
      <c r="UQW12" s="248"/>
      <c r="UQX12" s="248"/>
      <c r="UQY12" s="248"/>
      <c r="UQZ12" s="248"/>
      <c r="URA12" s="248"/>
      <c r="URB12" s="248"/>
      <c r="URC12" s="248"/>
      <c r="URD12" s="248"/>
      <c r="URE12" s="248"/>
      <c r="URF12" s="248"/>
      <c r="URG12" s="248"/>
      <c r="URH12" s="248"/>
      <c r="URI12" s="248"/>
      <c r="URJ12" s="248"/>
      <c r="URK12" s="248"/>
      <c r="URL12" s="248"/>
      <c r="URM12" s="248"/>
      <c r="URN12" s="248"/>
      <c r="URO12" s="248"/>
      <c r="URP12" s="248"/>
      <c r="URQ12" s="248"/>
      <c r="URR12" s="248"/>
      <c r="URS12" s="248"/>
      <c r="URT12" s="248"/>
      <c r="URU12" s="248"/>
      <c r="URV12" s="248"/>
      <c r="URW12" s="248"/>
      <c r="URX12" s="248"/>
      <c r="URY12" s="248"/>
      <c r="URZ12" s="248"/>
      <c r="USA12" s="248"/>
      <c r="USB12" s="248"/>
      <c r="USC12" s="248"/>
      <c r="USD12" s="248"/>
      <c r="USE12" s="248"/>
      <c r="USF12" s="248"/>
      <c r="USG12" s="248"/>
      <c r="USH12" s="248"/>
      <c r="USI12" s="248"/>
      <c r="USJ12" s="248"/>
      <c r="USK12" s="248"/>
      <c r="USL12" s="248"/>
      <c r="USM12" s="248"/>
      <c r="USN12" s="248"/>
      <c r="USO12" s="248"/>
      <c r="USP12" s="248"/>
      <c r="USQ12" s="248"/>
      <c r="USR12" s="248"/>
      <c r="USS12" s="248"/>
      <c r="UST12" s="248"/>
      <c r="USU12" s="248"/>
      <c r="USV12" s="248"/>
      <c r="USW12" s="248"/>
      <c r="USX12" s="248"/>
      <c r="USY12" s="248"/>
      <c r="USZ12" s="248"/>
      <c r="UTA12" s="248"/>
      <c r="UTB12" s="248"/>
      <c r="UTC12" s="248"/>
      <c r="UTD12" s="248"/>
      <c r="UTE12" s="248"/>
      <c r="UTF12" s="248"/>
      <c r="UTG12" s="248"/>
      <c r="UTH12" s="248"/>
      <c r="UTI12" s="248"/>
      <c r="UTJ12" s="248"/>
      <c r="UTK12" s="248"/>
      <c r="UTL12" s="248"/>
      <c r="UTM12" s="248"/>
      <c r="UTN12" s="248"/>
      <c r="UTO12" s="248"/>
      <c r="UTP12" s="248"/>
      <c r="UTQ12" s="248"/>
      <c r="UTR12" s="248"/>
      <c r="UTS12" s="248"/>
      <c r="UTT12" s="248"/>
      <c r="UTU12" s="248"/>
      <c r="UTV12" s="248"/>
      <c r="UTW12" s="248"/>
      <c r="UTX12" s="248"/>
      <c r="UTY12" s="248"/>
      <c r="UTZ12" s="248"/>
      <c r="UUA12" s="248"/>
      <c r="UUB12" s="248"/>
      <c r="UUC12" s="248"/>
      <c r="UUD12" s="248"/>
      <c r="UUE12" s="248"/>
      <c r="UUF12" s="248"/>
      <c r="UUG12" s="248"/>
      <c r="UUH12" s="248"/>
      <c r="UUI12" s="248"/>
      <c r="UUJ12" s="248"/>
      <c r="UUK12" s="248"/>
      <c r="UUL12" s="248"/>
      <c r="UUM12" s="248"/>
      <c r="UUN12" s="248"/>
      <c r="UUO12" s="248"/>
      <c r="UUP12" s="248"/>
      <c r="UUQ12" s="248"/>
      <c r="UUR12" s="248"/>
      <c r="UUS12" s="248"/>
      <c r="UUT12" s="248"/>
      <c r="UUU12" s="248"/>
      <c r="UUV12" s="248"/>
      <c r="UUW12" s="248"/>
      <c r="UUX12" s="248"/>
      <c r="UUY12" s="248"/>
      <c r="UUZ12" s="248"/>
      <c r="UVA12" s="248"/>
      <c r="UVB12" s="248"/>
      <c r="UVC12" s="248"/>
      <c r="UVD12" s="248"/>
      <c r="UVE12" s="248"/>
      <c r="UVF12" s="248"/>
      <c r="UVG12" s="248"/>
      <c r="UVH12" s="248"/>
      <c r="UVI12" s="248"/>
      <c r="UVJ12" s="248"/>
      <c r="UVK12" s="248"/>
      <c r="UVL12" s="248"/>
      <c r="UVM12" s="248"/>
      <c r="UVN12" s="248"/>
      <c r="UVO12" s="248"/>
      <c r="UVP12" s="248"/>
      <c r="UVQ12" s="248"/>
      <c r="UVR12" s="248"/>
      <c r="UVS12" s="248"/>
      <c r="UVT12" s="248"/>
      <c r="UVU12" s="248"/>
      <c r="UVV12" s="248"/>
      <c r="UVW12" s="248"/>
      <c r="UVX12" s="248"/>
      <c r="UVY12" s="248"/>
      <c r="UVZ12" s="248"/>
      <c r="UWA12" s="248"/>
      <c r="UWB12" s="248"/>
      <c r="UWC12" s="248"/>
      <c r="UWD12" s="248"/>
      <c r="UWE12" s="248"/>
      <c r="UWF12" s="248"/>
      <c r="UWG12" s="248"/>
      <c r="UWH12" s="248"/>
      <c r="UWI12" s="248"/>
      <c r="UWJ12" s="248"/>
      <c r="UWK12" s="248"/>
      <c r="UWL12" s="248"/>
      <c r="UWM12" s="248"/>
      <c r="UWN12" s="248"/>
      <c r="UWO12" s="248"/>
      <c r="UWP12" s="248"/>
      <c r="UWQ12" s="248"/>
      <c r="UWR12" s="248"/>
      <c r="UWS12" s="248"/>
      <c r="UWT12" s="248"/>
      <c r="UWU12" s="248"/>
      <c r="UWV12" s="248"/>
      <c r="UWW12" s="248"/>
      <c r="UWX12" s="248"/>
      <c r="UWY12" s="248"/>
      <c r="UWZ12" s="248"/>
      <c r="UXA12" s="248"/>
      <c r="UXB12" s="248"/>
      <c r="UXC12" s="248"/>
      <c r="UXD12" s="248"/>
      <c r="UXE12" s="248"/>
      <c r="UXF12" s="248"/>
      <c r="UXG12" s="248"/>
      <c r="UXH12" s="248"/>
      <c r="UXI12" s="248"/>
      <c r="UXJ12" s="248"/>
      <c r="UXK12" s="248"/>
      <c r="UXL12" s="248"/>
      <c r="UXM12" s="248"/>
      <c r="UXN12" s="248"/>
      <c r="UXO12" s="248"/>
      <c r="UXP12" s="248"/>
      <c r="UXQ12" s="248"/>
      <c r="UXR12" s="248"/>
      <c r="UXS12" s="248"/>
      <c r="UXT12" s="248"/>
      <c r="UXU12" s="248"/>
      <c r="UXV12" s="248"/>
      <c r="UXW12" s="248"/>
      <c r="UXX12" s="248"/>
      <c r="UXY12" s="248"/>
      <c r="UXZ12" s="248"/>
      <c r="UYA12" s="248"/>
      <c r="UYB12" s="248"/>
      <c r="UYC12" s="248"/>
      <c r="UYD12" s="248"/>
      <c r="UYE12" s="248"/>
      <c r="UYF12" s="248"/>
      <c r="UYG12" s="248"/>
      <c r="UYH12" s="248"/>
      <c r="UYI12" s="248"/>
      <c r="UYJ12" s="248"/>
      <c r="UYK12" s="248"/>
      <c r="UYL12" s="248"/>
      <c r="UYM12" s="248"/>
      <c r="UYN12" s="248"/>
      <c r="UYO12" s="248"/>
      <c r="UYP12" s="248"/>
      <c r="UYQ12" s="248"/>
      <c r="UYR12" s="248"/>
      <c r="UYS12" s="248"/>
      <c r="UYT12" s="248"/>
      <c r="UYU12" s="248"/>
      <c r="UYV12" s="248"/>
      <c r="UYW12" s="248"/>
      <c r="UYX12" s="248"/>
      <c r="UYY12" s="248"/>
      <c r="UYZ12" s="248"/>
      <c r="UZA12" s="248"/>
      <c r="UZB12" s="248"/>
      <c r="UZC12" s="248"/>
      <c r="UZD12" s="248"/>
      <c r="UZE12" s="248"/>
      <c r="UZF12" s="248"/>
      <c r="UZG12" s="248"/>
      <c r="UZH12" s="248"/>
      <c r="UZI12" s="248"/>
      <c r="UZJ12" s="248"/>
      <c r="UZK12" s="248"/>
      <c r="UZL12" s="248"/>
      <c r="UZM12" s="248"/>
      <c r="UZN12" s="248"/>
      <c r="UZO12" s="248"/>
      <c r="UZP12" s="248"/>
      <c r="UZQ12" s="248"/>
      <c r="UZR12" s="248"/>
      <c r="UZS12" s="248"/>
      <c r="UZT12" s="248"/>
      <c r="UZU12" s="248"/>
      <c r="UZV12" s="248"/>
      <c r="UZW12" s="248"/>
      <c r="UZX12" s="248"/>
      <c r="UZY12" s="248"/>
      <c r="UZZ12" s="248"/>
      <c r="VAA12" s="248"/>
      <c r="VAB12" s="248"/>
      <c r="VAC12" s="248"/>
      <c r="VAD12" s="248"/>
      <c r="VAE12" s="248"/>
      <c r="VAF12" s="248"/>
      <c r="VAG12" s="248"/>
      <c r="VAH12" s="248"/>
      <c r="VAI12" s="248"/>
      <c r="VAJ12" s="248"/>
      <c r="VAK12" s="248"/>
      <c r="VAL12" s="248"/>
      <c r="VAM12" s="248"/>
      <c r="VAN12" s="248"/>
      <c r="VAO12" s="248"/>
      <c r="VAP12" s="248"/>
      <c r="VAQ12" s="248"/>
      <c r="VAR12" s="248"/>
      <c r="VAS12" s="248"/>
      <c r="VAT12" s="248"/>
      <c r="VAU12" s="248"/>
      <c r="VAV12" s="248"/>
      <c r="VAW12" s="248"/>
      <c r="VAX12" s="248"/>
      <c r="VAY12" s="248"/>
      <c r="VAZ12" s="248"/>
      <c r="VBA12" s="248"/>
      <c r="VBB12" s="248"/>
      <c r="VBC12" s="248"/>
      <c r="VBD12" s="248"/>
      <c r="VBE12" s="248"/>
      <c r="VBF12" s="248"/>
      <c r="VBG12" s="248"/>
      <c r="VBH12" s="248"/>
      <c r="VBI12" s="248"/>
      <c r="VBJ12" s="248"/>
      <c r="VBK12" s="248"/>
      <c r="VBL12" s="248"/>
      <c r="VBM12" s="248"/>
      <c r="VBN12" s="248"/>
      <c r="VBO12" s="248"/>
      <c r="VBP12" s="248"/>
      <c r="VBQ12" s="248"/>
      <c r="VBR12" s="248"/>
      <c r="VBS12" s="248"/>
      <c r="VBT12" s="248"/>
      <c r="VBU12" s="248"/>
      <c r="VBV12" s="248"/>
      <c r="VBW12" s="248"/>
      <c r="VBX12" s="248"/>
      <c r="VBY12" s="248"/>
      <c r="VBZ12" s="248"/>
      <c r="VCA12" s="248"/>
      <c r="VCB12" s="248"/>
      <c r="VCC12" s="248"/>
      <c r="VCD12" s="248"/>
      <c r="VCE12" s="248"/>
      <c r="VCF12" s="248"/>
      <c r="VCG12" s="248"/>
      <c r="VCH12" s="248"/>
      <c r="VCI12" s="248"/>
      <c r="VCJ12" s="248"/>
      <c r="VCK12" s="248"/>
      <c r="VCL12" s="248"/>
      <c r="VCM12" s="248"/>
      <c r="VCN12" s="248"/>
      <c r="VCO12" s="248"/>
      <c r="VCP12" s="248"/>
      <c r="VCQ12" s="248"/>
      <c r="VCR12" s="248"/>
      <c r="VCS12" s="248"/>
      <c r="VCT12" s="248"/>
      <c r="VCU12" s="248"/>
      <c r="VCV12" s="248"/>
      <c r="VCW12" s="248"/>
      <c r="VCX12" s="248"/>
      <c r="VCY12" s="248"/>
      <c r="VCZ12" s="248"/>
      <c r="VDA12" s="248"/>
      <c r="VDB12" s="248"/>
      <c r="VDC12" s="248"/>
      <c r="VDD12" s="248"/>
      <c r="VDE12" s="248"/>
      <c r="VDF12" s="248"/>
      <c r="VDG12" s="248"/>
      <c r="VDH12" s="248"/>
      <c r="VDI12" s="248"/>
      <c r="VDJ12" s="248"/>
      <c r="VDK12" s="248"/>
      <c r="VDL12" s="248"/>
      <c r="VDM12" s="248"/>
      <c r="VDN12" s="248"/>
      <c r="VDO12" s="248"/>
      <c r="VDP12" s="248"/>
      <c r="VDQ12" s="248"/>
      <c r="VDR12" s="248"/>
      <c r="VDS12" s="248"/>
      <c r="VDT12" s="248"/>
      <c r="VDU12" s="248"/>
      <c r="VDV12" s="248"/>
      <c r="VDW12" s="248"/>
      <c r="VDX12" s="248"/>
      <c r="VDY12" s="248"/>
      <c r="VDZ12" s="248"/>
      <c r="VEA12" s="248"/>
      <c r="VEB12" s="248"/>
      <c r="VEC12" s="248"/>
      <c r="VED12" s="248"/>
      <c r="VEE12" s="248"/>
      <c r="VEF12" s="248"/>
      <c r="VEG12" s="248"/>
      <c r="VEH12" s="248"/>
      <c r="VEI12" s="248"/>
      <c r="VEJ12" s="248"/>
      <c r="VEK12" s="248"/>
      <c r="VEL12" s="248"/>
      <c r="VEM12" s="248"/>
      <c r="VEN12" s="248"/>
      <c r="VEO12" s="248"/>
      <c r="VEP12" s="248"/>
      <c r="VEQ12" s="248"/>
      <c r="VER12" s="248"/>
      <c r="VES12" s="248"/>
      <c r="VET12" s="248"/>
      <c r="VEU12" s="248"/>
      <c r="VEV12" s="248"/>
      <c r="VEW12" s="248"/>
      <c r="VEX12" s="248"/>
      <c r="VEY12" s="248"/>
      <c r="VEZ12" s="248"/>
      <c r="VFA12" s="248"/>
      <c r="VFB12" s="248"/>
      <c r="VFC12" s="248"/>
      <c r="VFD12" s="248"/>
      <c r="VFE12" s="248"/>
      <c r="VFF12" s="248"/>
      <c r="VFG12" s="248"/>
      <c r="VFH12" s="248"/>
      <c r="VFI12" s="248"/>
      <c r="VFJ12" s="248"/>
      <c r="VFK12" s="248"/>
      <c r="VFL12" s="248"/>
      <c r="VFM12" s="248"/>
      <c r="VFN12" s="248"/>
      <c r="VFO12" s="248"/>
      <c r="VFP12" s="248"/>
      <c r="VFQ12" s="248"/>
      <c r="VFR12" s="248"/>
      <c r="VFS12" s="248"/>
      <c r="VFT12" s="248"/>
      <c r="VFU12" s="248"/>
      <c r="VFV12" s="248"/>
      <c r="VFW12" s="248"/>
      <c r="VFX12" s="248"/>
      <c r="VFY12" s="248"/>
      <c r="VFZ12" s="248"/>
      <c r="VGA12" s="248"/>
      <c r="VGB12" s="248"/>
      <c r="VGC12" s="248"/>
      <c r="VGD12" s="248"/>
      <c r="VGE12" s="248"/>
      <c r="VGF12" s="248"/>
      <c r="VGG12" s="248"/>
      <c r="VGH12" s="248"/>
      <c r="VGI12" s="248"/>
      <c r="VGJ12" s="248"/>
      <c r="VGK12" s="248"/>
      <c r="VGL12" s="248"/>
      <c r="VGM12" s="248"/>
      <c r="VGN12" s="248"/>
      <c r="VGO12" s="248"/>
      <c r="VGP12" s="248"/>
      <c r="VGQ12" s="248"/>
      <c r="VGR12" s="248"/>
      <c r="VGS12" s="248"/>
      <c r="VGT12" s="248"/>
      <c r="VGU12" s="248"/>
      <c r="VGV12" s="248"/>
      <c r="VGW12" s="248"/>
      <c r="VGX12" s="248"/>
      <c r="VGY12" s="248"/>
      <c r="VGZ12" s="248"/>
      <c r="VHA12" s="248"/>
      <c r="VHB12" s="248"/>
      <c r="VHC12" s="248"/>
      <c r="VHD12" s="248"/>
      <c r="VHE12" s="248"/>
      <c r="VHF12" s="248"/>
      <c r="VHG12" s="248"/>
      <c r="VHH12" s="248"/>
      <c r="VHI12" s="248"/>
      <c r="VHJ12" s="248"/>
      <c r="VHK12" s="248"/>
      <c r="VHL12" s="248"/>
      <c r="VHM12" s="248"/>
      <c r="VHN12" s="248"/>
      <c r="VHO12" s="248"/>
      <c r="VHP12" s="248"/>
      <c r="VHQ12" s="248"/>
      <c r="VHR12" s="248"/>
      <c r="VHS12" s="248"/>
      <c r="VHT12" s="248"/>
      <c r="VHU12" s="248"/>
      <c r="VHV12" s="248"/>
      <c r="VHW12" s="248"/>
      <c r="VHX12" s="248"/>
      <c r="VHY12" s="248"/>
      <c r="VHZ12" s="248"/>
      <c r="VIA12" s="248"/>
      <c r="VIB12" s="248"/>
      <c r="VIC12" s="248"/>
      <c r="VID12" s="248"/>
      <c r="VIE12" s="248"/>
      <c r="VIF12" s="248"/>
      <c r="VIG12" s="248"/>
      <c r="VIH12" s="248"/>
      <c r="VII12" s="248"/>
      <c r="VIJ12" s="248"/>
      <c r="VIK12" s="248"/>
      <c r="VIL12" s="248"/>
      <c r="VIM12" s="248"/>
      <c r="VIN12" s="248"/>
      <c r="VIO12" s="248"/>
      <c r="VIP12" s="248"/>
      <c r="VIQ12" s="248"/>
      <c r="VIR12" s="248"/>
      <c r="VIS12" s="248"/>
      <c r="VIT12" s="248"/>
      <c r="VIU12" s="248"/>
      <c r="VIV12" s="248"/>
      <c r="VIW12" s="248"/>
      <c r="VIX12" s="248"/>
      <c r="VIY12" s="248"/>
      <c r="VIZ12" s="248"/>
      <c r="VJA12" s="248"/>
      <c r="VJB12" s="248"/>
      <c r="VJC12" s="248"/>
      <c r="VJD12" s="248"/>
      <c r="VJE12" s="248"/>
      <c r="VJF12" s="248"/>
      <c r="VJG12" s="248"/>
      <c r="VJH12" s="248"/>
      <c r="VJI12" s="248"/>
      <c r="VJJ12" s="248"/>
      <c r="VJK12" s="248"/>
      <c r="VJL12" s="248"/>
      <c r="VJM12" s="248"/>
      <c r="VJN12" s="248"/>
      <c r="VJO12" s="248"/>
      <c r="VJP12" s="248"/>
      <c r="VJQ12" s="248"/>
      <c r="VJR12" s="248"/>
      <c r="VJS12" s="248"/>
      <c r="VJT12" s="248"/>
      <c r="VJU12" s="248"/>
      <c r="VJV12" s="248"/>
      <c r="VJW12" s="248"/>
      <c r="VJX12" s="248"/>
      <c r="VJY12" s="248"/>
      <c r="VJZ12" s="248"/>
      <c r="VKA12" s="248"/>
      <c r="VKB12" s="248"/>
      <c r="VKC12" s="248"/>
      <c r="VKD12" s="248"/>
      <c r="VKE12" s="248"/>
      <c r="VKF12" s="248"/>
      <c r="VKG12" s="248"/>
      <c r="VKH12" s="248"/>
      <c r="VKI12" s="248"/>
      <c r="VKJ12" s="248"/>
      <c r="VKK12" s="248"/>
      <c r="VKL12" s="248"/>
      <c r="VKM12" s="248"/>
      <c r="VKN12" s="248"/>
      <c r="VKO12" s="248"/>
      <c r="VKP12" s="248"/>
      <c r="VKQ12" s="248"/>
      <c r="VKR12" s="248"/>
      <c r="VKS12" s="248"/>
      <c r="VKT12" s="248"/>
      <c r="VKU12" s="248"/>
      <c r="VKV12" s="248"/>
      <c r="VKW12" s="248"/>
      <c r="VKX12" s="248"/>
      <c r="VKY12" s="248"/>
      <c r="VKZ12" s="248"/>
      <c r="VLA12" s="248"/>
      <c r="VLB12" s="248"/>
      <c r="VLC12" s="248"/>
      <c r="VLD12" s="248"/>
      <c r="VLE12" s="248"/>
      <c r="VLF12" s="248"/>
      <c r="VLG12" s="248"/>
      <c r="VLH12" s="248"/>
      <c r="VLI12" s="248"/>
      <c r="VLJ12" s="248"/>
      <c r="VLK12" s="248"/>
      <c r="VLL12" s="248"/>
      <c r="VLM12" s="248"/>
      <c r="VLN12" s="248"/>
      <c r="VLO12" s="248"/>
      <c r="VLP12" s="248"/>
      <c r="VLQ12" s="248"/>
      <c r="VLR12" s="248"/>
      <c r="VLS12" s="248"/>
      <c r="VLT12" s="248"/>
      <c r="VLU12" s="248"/>
      <c r="VLV12" s="248"/>
      <c r="VLW12" s="248"/>
      <c r="VLX12" s="248"/>
      <c r="VLY12" s="248"/>
      <c r="VLZ12" s="248"/>
      <c r="VMA12" s="248"/>
      <c r="VMB12" s="248"/>
      <c r="VMC12" s="248"/>
      <c r="VMD12" s="248"/>
      <c r="VME12" s="248"/>
      <c r="VMF12" s="248"/>
      <c r="VMG12" s="248"/>
      <c r="VMH12" s="248"/>
      <c r="VMI12" s="248"/>
      <c r="VMJ12" s="248"/>
      <c r="VMK12" s="248"/>
      <c r="VML12" s="248"/>
      <c r="VMM12" s="248"/>
      <c r="VMN12" s="248"/>
      <c r="VMO12" s="248"/>
      <c r="VMP12" s="248"/>
      <c r="VMQ12" s="248"/>
      <c r="VMR12" s="248"/>
      <c r="VMS12" s="248"/>
      <c r="VMT12" s="248"/>
      <c r="VMU12" s="248"/>
      <c r="VMV12" s="248"/>
      <c r="VMW12" s="248"/>
      <c r="VMX12" s="248"/>
      <c r="VMY12" s="248"/>
      <c r="VMZ12" s="248"/>
      <c r="VNA12" s="248"/>
      <c r="VNB12" s="248"/>
      <c r="VNC12" s="248"/>
      <c r="VND12" s="248"/>
      <c r="VNE12" s="248"/>
      <c r="VNF12" s="248"/>
      <c r="VNG12" s="248"/>
      <c r="VNH12" s="248"/>
      <c r="VNI12" s="248"/>
      <c r="VNJ12" s="248"/>
      <c r="VNK12" s="248"/>
      <c r="VNL12" s="248"/>
      <c r="VNM12" s="248"/>
      <c r="VNN12" s="248"/>
      <c r="VNO12" s="248"/>
      <c r="VNP12" s="248"/>
      <c r="VNQ12" s="248"/>
      <c r="VNR12" s="248"/>
      <c r="VNS12" s="248"/>
      <c r="VNT12" s="248"/>
      <c r="VNU12" s="248"/>
      <c r="VNV12" s="248"/>
      <c r="VNW12" s="248"/>
      <c r="VNX12" s="248"/>
      <c r="VNY12" s="248"/>
      <c r="VNZ12" s="248"/>
      <c r="VOA12" s="248"/>
      <c r="VOB12" s="248"/>
      <c r="VOC12" s="248"/>
      <c r="VOD12" s="248"/>
      <c r="VOE12" s="248"/>
      <c r="VOF12" s="248"/>
      <c r="VOG12" s="248"/>
      <c r="VOH12" s="248"/>
      <c r="VOI12" s="248"/>
      <c r="VOJ12" s="248"/>
      <c r="VOK12" s="248"/>
      <c r="VOL12" s="248"/>
      <c r="VOM12" s="248"/>
      <c r="VON12" s="248"/>
      <c r="VOO12" s="248"/>
      <c r="VOP12" s="248"/>
      <c r="VOQ12" s="248"/>
      <c r="VOR12" s="248"/>
      <c r="VOS12" s="248"/>
      <c r="VOT12" s="248"/>
      <c r="VOU12" s="248"/>
      <c r="VOV12" s="248"/>
      <c r="VOW12" s="248"/>
      <c r="VOX12" s="248"/>
      <c r="VOY12" s="248"/>
      <c r="VOZ12" s="248"/>
      <c r="VPA12" s="248"/>
      <c r="VPB12" s="248"/>
      <c r="VPC12" s="248"/>
      <c r="VPD12" s="248"/>
      <c r="VPE12" s="248"/>
      <c r="VPF12" s="248"/>
      <c r="VPG12" s="248"/>
      <c r="VPH12" s="248"/>
      <c r="VPI12" s="248"/>
      <c r="VPJ12" s="248"/>
      <c r="VPK12" s="248"/>
      <c r="VPL12" s="248"/>
      <c r="VPM12" s="248"/>
      <c r="VPN12" s="248"/>
      <c r="VPO12" s="248"/>
      <c r="VPP12" s="248"/>
      <c r="VPQ12" s="248"/>
      <c r="VPR12" s="248"/>
      <c r="VPS12" s="248"/>
      <c r="VPT12" s="248"/>
      <c r="VPU12" s="248"/>
      <c r="VPV12" s="248"/>
      <c r="VPW12" s="248"/>
      <c r="VPX12" s="248"/>
      <c r="VPY12" s="248"/>
      <c r="VPZ12" s="248"/>
      <c r="VQA12" s="248"/>
      <c r="VQB12" s="248"/>
      <c r="VQC12" s="248"/>
      <c r="VQD12" s="248"/>
      <c r="VQE12" s="248"/>
      <c r="VQF12" s="248"/>
      <c r="VQG12" s="248"/>
      <c r="VQH12" s="248"/>
      <c r="VQI12" s="248"/>
      <c r="VQJ12" s="248"/>
      <c r="VQK12" s="248"/>
      <c r="VQL12" s="248"/>
      <c r="VQM12" s="248"/>
      <c r="VQN12" s="248"/>
      <c r="VQO12" s="248"/>
      <c r="VQP12" s="248"/>
      <c r="VQQ12" s="248"/>
      <c r="VQR12" s="248"/>
      <c r="VQS12" s="248"/>
      <c r="VQT12" s="248"/>
      <c r="VQU12" s="248"/>
      <c r="VQV12" s="248"/>
      <c r="VQW12" s="248"/>
      <c r="VQX12" s="248"/>
      <c r="VQY12" s="248"/>
      <c r="VQZ12" s="248"/>
      <c r="VRA12" s="248"/>
      <c r="VRB12" s="248"/>
      <c r="VRC12" s="248"/>
      <c r="VRD12" s="248"/>
      <c r="VRE12" s="248"/>
      <c r="VRF12" s="248"/>
      <c r="VRG12" s="248"/>
      <c r="VRH12" s="248"/>
      <c r="VRI12" s="248"/>
      <c r="VRJ12" s="248"/>
      <c r="VRK12" s="248"/>
      <c r="VRL12" s="248"/>
      <c r="VRM12" s="248"/>
      <c r="VRN12" s="248"/>
      <c r="VRO12" s="248"/>
      <c r="VRP12" s="248"/>
      <c r="VRQ12" s="248"/>
      <c r="VRR12" s="248"/>
      <c r="VRS12" s="248"/>
      <c r="VRT12" s="248"/>
      <c r="VRU12" s="248"/>
      <c r="VRV12" s="248"/>
      <c r="VRW12" s="248"/>
      <c r="VRX12" s="248"/>
      <c r="VRY12" s="248"/>
      <c r="VRZ12" s="248"/>
      <c r="VSA12" s="248"/>
      <c r="VSB12" s="248"/>
      <c r="VSC12" s="248"/>
      <c r="VSD12" s="248"/>
      <c r="VSE12" s="248"/>
      <c r="VSF12" s="248"/>
      <c r="VSG12" s="248"/>
      <c r="VSH12" s="248"/>
      <c r="VSI12" s="248"/>
      <c r="VSJ12" s="248"/>
      <c r="VSK12" s="248"/>
      <c r="VSL12" s="248"/>
      <c r="VSM12" s="248"/>
      <c r="VSN12" s="248"/>
      <c r="VSO12" s="248"/>
      <c r="VSP12" s="248"/>
      <c r="VSQ12" s="248"/>
      <c r="VSR12" s="248"/>
      <c r="VSS12" s="248"/>
      <c r="VST12" s="248"/>
      <c r="VSU12" s="248"/>
      <c r="VSV12" s="248"/>
      <c r="VSW12" s="248"/>
      <c r="VSX12" s="248"/>
      <c r="VSY12" s="248"/>
      <c r="VSZ12" s="248"/>
      <c r="VTA12" s="248"/>
      <c r="VTB12" s="248"/>
      <c r="VTC12" s="248"/>
      <c r="VTD12" s="248"/>
      <c r="VTE12" s="248"/>
      <c r="VTF12" s="248"/>
      <c r="VTG12" s="248"/>
      <c r="VTH12" s="248"/>
      <c r="VTI12" s="248"/>
      <c r="VTJ12" s="248"/>
      <c r="VTK12" s="248"/>
      <c r="VTL12" s="248"/>
      <c r="VTM12" s="248"/>
      <c r="VTN12" s="248"/>
      <c r="VTO12" s="248"/>
      <c r="VTP12" s="248"/>
      <c r="VTQ12" s="248"/>
      <c r="VTR12" s="248"/>
      <c r="VTS12" s="248"/>
      <c r="VTT12" s="248"/>
      <c r="VTU12" s="248"/>
      <c r="VTV12" s="248"/>
      <c r="VTW12" s="248"/>
      <c r="VTX12" s="248"/>
      <c r="VTY12" s="248"/>
      <c r="VTZ12" s="248"/>
      <c r="VUA12" s="248"/>
      <c r="VUB12" s="248"/>
      <c r="VUC12" s="248"/>
      <c r="VUD12" s="248"/>
      <c r="VUE12" s="248"/>
      <c r="VUF12" s="248"/>
      <c r="VUG12" s="248"/>
      <c r="VUH12" s="248"/>
      <c r="VUI12" s="248"/>
      <c r="VUJ12" s="248"/>
      <c r="VUK12" s="248"/>
      <c r="VUL12" s="248"/>
      <c r="VUM12" s="248"/>
      <c r="VUN12" s="248"/>
      <c r="VUO12" s="248"/>
      <c r="VUP12" s="248"/>
      <c r="VUQ12" s="248"/>
      <c r="VUR12" s="248"/>
      <c r="VUS12" s="248"/>
      <c r="VUT12" s="248"/>
      <c r="VUU12" s="248"/>
      <c r="VUV12" s="248"/>
      <c r="VUW12" s="248"/>
      <c r="VUX12" s="248"/>
      <c r="VUY12" s="248"/>
      <c r="VUZ12" s="248"/>
      <c r="VVA12" s="248"/>
      <c r="VVB12" s="248"/>
      <c r="VVC12" s="248"/>
      <c r="VVD12" s="248"/>
      <c r="VVE12" s="248"/>
      <c r="VVF12" s="248"/>
      <c r="VVG12" s="248"/>
      <c r="VVH12" s="248"/>
      <c r="VVI12" s="248"/>
      <c r="VVJ12" s="248"/>
      <c r="VVK12" s="248"/>
      <c r="VVL12" s="248"/>
      <c r="VVM12" s="248"/>
      <c r="VVN12" s="248"/>
      <c r="VVO12" s="248"/>
      <c r="VVP12" s="248"/>
      <c r="VVQ12" s="248"/>
      <c r="VVR12" s="248"/>
      <c r="VVS12" s="248"/>
      <c r="VVT12" s="248"/>
      <c r="VVU12" s="248"/>
      <c r="VVV12" s="248"/>
      <c r="VVW12" s="248"/>
      <c r="VVX12" s="248"/>
      <c r="VVY12" s="248"/>
      <c r="VVZ12" s="248"/>
      <c r="VWA12" s="248"/>
      <c r="VWB12" s="248"/>
      <c r="VWC12" s="248"/>
      <c r="VWD12" s="248"/>
      <c r="VWE12" s="248"/>
      <c r="VWF12" s="248"/>
      <c r="VWG12" s="248"/>
      <c r="VWH12" s="248"/>
      <c r="VWI12" s="248"/>
      <c r="VWJ12" s="248"/>
      <c r="VWK12" s="248"/>
      <c r="VWL12" s="248"/>
      <c r="VWM12" s="248"/>
      <c r="VWN12" s="248"/>
      <c r="VWO12" s="248"/>
      <c r="VWP12" s="248"/>
      <c r="VWQ12" s="248"/>
      <c r="VWR12" s="248"/>
      <c r="VWS12" s="248"/>
      <c r="VWT12" s="248"/>
      <c r="VWU12" s="248"/>
      <c r="VWV12" s="248"/>
      <c r="VWW12" s="248"/>
      <c r="VWX12" s="248"/>
      <c r="VWY12" s="248"/>
      <c r="VWZ12" s="248"/>
      <c r="VXA12" s="248"/>
      <c r="VXB12" s="248"/>
      <c r="VXC12" s="248"/>
      <c r="VXD12" s="248"/>
      <c r="VXE12" s="248"/>
      <c r="VXF12" s="248"/>
      <c r="VXG12" s="248"/>
      <c r="VXH12" s="248"/>
      <c r="VXI12" s="248"/>
      <c r="VXJ12" s="248"/>
      <c r="VXK12" s="248"/>
      <c r="VXL12" s="248"/>
      <c r="VXM12" s="248"/>
      <c r="VXN12" s="248"/>
      <c r="VXO12" s="248"/>
      <c r="VXP12" s="248"/>
      <c r="VXQ12" s="248"/>
      <c r="VXR12" s="248"/>
      <c r="VXS12" s="248"/>
      <c r="VXT12" s="248"/>
      <c r="VXU12" s="248"/>
      <c r="VXV12" s="248"/>
      <c r="VXW12" s="248"/>
      <c r="VXX12" s="248"/>
      <c r="VXY12" s="248"/>
      <c r="VXZ12" s="248"/>
      <c r="VYA12" s="248"/>
      <c r="VYB12" s="248"/>
      <c r="VYC12" s="248"/>
      <c r="VYD12" s="248"/>
      <c r="VYE12" s="248"/>
      <c r="VYF12" s="248"/>
      <c r="VYG12" s="248"/>
      <c r="VYH12" s="248"/>
      <c r="VYI12" s="248"/>
      <c r="VYJ12" s="248"/>
      <c r="VYK12" s="248"/>
      <c r="VYL12" s="248"/>
      <c r="VYM12" s="248"/>
      <c r="VYN12" s="248"/>
      <c r="VYO12" s="248"/>
      <c r="VYP12" s="248"/>
      <c r="VYQ12" s="248"/>
      <c r="VYR12" s="248"/>
      <c r="VYS12" s="248"/>
      <c r="VYT12" s="248"/>
      <c r="VYU12" s="248"/>
      <c r="VYV12" s="248"/>
      <c r="VYW12" s="248"/>
      <c r="VYX12" s="248"/>
      <c r="VYY12" s="248"/>
      <c r="VYZ12" s="248"/>
      <c r="VZA12" s="248"/>
      <c r="VZB12" s="248"/>
      <c r="VZC12" s="248"/>
      <c r="VZD12" s="248"/>
      <c r="VZE12" s="248"/>
      <c r="VZF12" s="248"/>
      <c r="VZG12" s="248"/>
      <c r="VZH12" s="248"/>
      <c r="VZI12" s="248"/>
      <c r="VZJ12" s="248"/>
      <c r="VZK12" s="248"/>
      <c r="VZL12" s="248"/>
      <c r="VZM12" s="248"/>
      <c r="VZN12" s="248"/>
      <c r="VZO12" s="248"/>
      <c r="VZP12" s="248"/>
      <c r="VZQ12" s="248"/>
      <c r="VZR12" s="248"/>
      <c r="VZS12" s="248"/>
      <c r="VZT12" s="248"/>
      <c r="VZU12" s="248"/>
      <c r="VZV12" s="248"/>
      <c r="VZW12" s="248"/>
      <c r="VZX12" s="248"/>
      <c r="VZY12" s="248"/>
      <c r="VZZ12" s="248"/>
      <c r="WAA12" s="248"/>
      <c r="WAB12" s="248"/>
      <c r="WAC12" s="248"/>
      <c r="WAD12" s="248"/>
      <c r="WAE12" s="248"/>
      <c r="WAF12" s="248"/>
      <c r="WAG12" s="248"/>
      <c r="WAH12" s="248"/>
      <c r="WAI12" s="248"/>
      <c r="WAJ12" s="248"/>
      <c r="WAK12" s="248"/>
      <c r="WAL12" s="248"/>
      <c r="WAM12" s="248"/>
      <c r="WAN12" s="248"/>
      <c r="WAO12" s="248"/>
      <c r="WAP12" s="248"/>
      <c r="WAQ12" s="248"/>
      <c r="WAR12" s="248"/>
      <c r="WAS12" s="248"/>
      <c r="WAT12" s="248"/>
      <c r="WAU12" s="248"/>
      <c r="WAV12" s="248"/>
      <c r="WAW12" s="248"/>
      <c r="WAX12" s="248"/>
      <c r="WAY12" s="248"/>
      <c r="WAZ12" s="248"/>
      <c r="WBA12" s="248"/>
      <c r="WBB12" s="248"/>
      <c r="WBC12" s="248"/>
      <c r="WBD12" s="248"/>
      <c r="WBE12" s="248"/>
      <c r="WBF12" s="248"/>
      <c r="WBG12" s="248"/>
      <c r="WBH12" s="248"/>
      <c r="WBI12" s="248"/>
      <c r="WBJ12" s="248"/>
      <c r="WBK12" s="248"/>
      <c r="WBL12" s="248"/>
      <c r="WBM12" s="248"/>
      <c r="WBN12" s="248"/>
      <c r="WBO12" s="248"/>
      <c r="WBP12" s="248"/>
      <c r="WBQ12" s="248"/>
      <c r="WBR12" s="248"/>
      <c r="WBS12" s="248"/>
      <c r="WBT12" s="248"/>
      <c r="WBU12" s="248"/>
      <c r="WBV12" s="248"/>
      <c r="WBW12" s="248"/>
      <c r="WBX12" s="248"/>
      <c r="WBY12" s="248"/>
      <c r="WBZ12" s="248"/>
      <c r="WCA12" s="248"/>
      <c r="WCB12" s="248"/>
      <c r="WCC12" s="248"/>
      <c r="WCD12" s="248"/>
      <c r="WCE12" s="248"/>
      <c r="WCF12" s="248"/>
      <c r="WCG12" s="248"/>
      <c r="WCH12" s="248"/>
      <c r="WCI12" s="248"/>
      <c r="WCJ12" s="248"/>
      <c r="WCK12" s="248"/>
      <c r="WCL12" s="248"/>
      <c r="WCM12" s="248"/>
      <c r="WCN12" s="248"/>
      <c r="WCO12" s="248"/>
      <c r="WCP12" s="248"/>
      <c r="WCQ12" s="248"/>
      <c r="WCR12" s="248"/>
      <c r="WCS12" s="248"/>
      <c r="WCT12" s="248"/>
      <c r="WCU12" s="248"/>
      <c r="WCV12" s="248"/>
      <c r="WCW12" s="248"/>
      <c r="WCX12" s="248"/>
      <c r="WCY12" s="248"/>
      <c r="WCZ12" s="248"/>
      <c r="WDA12" s="248"/>
      <c r="WDB12" s="248"/>
      <c r="WDC12" s="248"/>
      <c r="WDD12" s="248"/>
      <c r="WDE12" s="248"/>
      <c r="WDF12" s="248"/>
      <c r="WDG12" s="248"/>
      <c r="WDH12" s="248"/>
      <c r="WDI12" s="248"/>
      <c r="WDJ12" s="248"/>
      <c r="WDK12" s="248"/>
      <c r="WDL12" s="248"/>
      <c r="WDM12" s="248"/>
      <c r="WDN12" s="248"/>
      <c r="WDO12" s="248"/>
      <c r="WDP12" s="248"/>
      <c r="WDQ12" s="248"/>
      <c r="WDR12" s="248"/>
      <c r="WDS12" s="248"/>
      <c r="WDT12" s="248"/>
      <c r="WDU12" s="248"/>
      <c r="WDV12" s="248"/>
      <c r="WDW12" s="248"/>
      <c r="WDX12" s="248"/>
      <c r="WDY12" s="248"/>
      <c r="WDZ12" s="248"/>
      <c r="WEA12" s="248"/>
      <c r="WEB12" s="248"/>
      <c r="WEC12" s="248"/>
      <c r="WED12" s="248"/>
      <c r="WEE12" s="248"/>
      <c r="WEF12" s="248"/>
      <c r="WEG12" s="248"/>
      <c r="WEH12" s="248"/>
      <c r="WEI12" s="248"/>
      <c r="WEJ12" s="248"/>
      <c r="WEK12" s="248"/>
      <c r="WEL12" s="248"/>
      <c r="WEM12" s="248"/>
      <c r="WEN12" s="248"/>
      <c r="WEO12" s="248"/>
      <c r="WEP12" s="248"/>
      <c r="WEQ12" s="248"/>
      <c r="WER12" s="248"/>
      <c r="WES12" s="248"/>
      <c r="WET12" s="248"/>
      <c r="WEU12" s="248"/>
      <c r="WEV12" s="248"/>
      <c r="WEW12" s="248"/>
      <c r="WEX12" s="248"/>
      <c r="WEY12" s="248"/>
      <c r="WEZ12" s="248"/>
      <c r="WFA12" s="248"/>
      <c r="WFB12" s="248"/>
      <c r="WFC12" s="248"/>
      <c r="WFD12" s="248"/>
      <c r="WFE12" s="248"/>
      <c r="WFF12" s="248"/>
      <c r="WFG12" s="248"/>
      <c r="WFH12" s="248"/>
      <c r="WFI12" s="248"/>
      <c r="WFJ12" s="248"/>
      <c r="WFK12" s="248"/>
      <c r="WFL12" s="248"/>
      <c r="WFM12" s="248"/>
      <c r="WFN12" s="248"/>
      <c r="WFO12" s="248"/>
      <c r="WFP12" s="248"/>
      <c r="WFQ12" s="248"/>
      <c r="WFR12" s="248"/>
      <c r="WFS12" s="248"/>
      <c r="WFT12" s="248"/>
      <c r="WFU12" s="248"/>
      <c r="WFV12" s="248"/>
      <c r="WFW12" s="248"/>
      <c r="WFX12" s="248"/>
      <c r="WFY12" s="248"/>
      <c r="WFZ12" s="248"/>
      <c r="WGA12" s="248"/>
      <c r="WGB12" s="248"/>
      <c r="WGC12" s="248"/>
      <c r="WGD12" s="248"/>
      <c r="WGE12" s="248"/>
      <c r="WGF12" s="248"/>
      <c r="WGG12" s="248"/>
      <c r="WGH12" s="248"/>
      <c r="WGI12" s="248"/>
      <c r="WGJ12" s="248"/>
      <c r="WGK12" s="248"/>
      <c r="WGL12" s="248"/>
      <c r="WGM12" s="248"/>
      <c r="WGN12" s="248"/>
      <c r="WGO12" s="248"/>
      <c r="WGP12" s="248"/>
      <c r="WGQ12" s="248"/>
      <c r="WGR12" s="248"/>
      <c r="WGS12" s="248"/>
      <c r="WGT12" s="248"/>
      <c r="WGU12" s="248"/>
      <c r="WGV12" s="248"/>
      <c r="WGW12" s="248"/>
      <c r="WGX12" s="248"/>
      <c r="WGY12" s="248"/>
      <c r="WGZ12" s="248"/>
      <c r="WHA12" s="248"/>
      <c r="WHB12" s="248"/>
      <c r="WHC12" s="248"/>
      <c r="WHD12" s="248"/>
      <c r="WHE12" s="248"/>
      <c r="WHF12" s="248"/>
      <c r="WHG12" s="248"/>
      <c r="WHH12" s="248"/>
      <c r="WHI12" s="248"/>
      <c r="WHJ12" s="248"/>
      <c r="WHK12" s="248"/>
      <c r="WHL12" s="248"/>
      <c r="WHM12" s="248"/>
      <c r="WHN12" s="248"/>
      <c r="WHO12" s="248"/>
      <c r="WHP12" s="248"/>
      <c r="WHQ12" s="248"/>
      <c r="WHR12" s="248"/>
      <c r="WHS12" s="248"/>
      <c r="WHT12" s="248"/>
      <c r="WHU12" s="248"/>
      <c r="WHV12" s="248"/>
      <c r="WHW12" s="248"/>
      <c r="WHX12" s="248"/>
      <c r="WHY12" s="248"/>
      <c r="WHZ12" s="248"/>
      <c r="WIA12" s="248"/>
      <c r="WIB12" s="248"/>
      <c r="WIC12" s="248"/>
      <c r="WID12" s="248"/>
      <c r="WIE12" s="248"/>
      <c r="WIF12" s="248"/>
      <c r="WIG12" s="248"/>
      <c r="WIH12" s="248"/>
      <c r="WII12" s="248"/>
      <c r="WIJ12" s="248"/>
      <c r="WIK12" s="248"/>
      <c r="WIL12" s="248"/>
      <c r="WIM12" s="248"/>
      <c r="WIN12" s="248"/>
      <c r="WIO12" s="248"/>
      <c r="WIP12" s="248"/>
      <c r="WIQ12" s="248"/>
      <c r="WIR12" s="248"/>
      <c r="WIS12" s="248"/>
      <c r="WIT12" s="248"/>
      <c r="WIU12" s="248"/>
      <c r="WIV12" s="248"/>
      <c r="WIW12" s="248"/>
      <c r="WIX12" s="248"/>
      <c r="WIY12" s="248"/>
      <c r="WIZ12" s="248"/>
      <c r="WJA12" s="248"/>
      <c r="WJB12" s="248"/>
      <c r="WJC12" s="248"/>
      <c r="WJD12" s="248"/>
      <c r="WJE12" s="248"/>
      <c r="WJF12" s="248"/>
      <c r="WJG12" s="248"/>
      <c r="WJH12" s="248"/>
      <c r="WJI12" s="248"/>
      <c r="WJJ12" s="248"/>
      <c r="WJK12" s="248"/>
      <c r="WJL12" s="248"/>
      <c r="WJM12" s="248"/>
      <c r="WJN12" s="248"/>
      <c r="WJO12" s="248"/>
      <c r="WJP12" s="248"/>
      <c r="WJQ12" s="248"/>
      <c r="WJR12" s="248"/>
      <c r="WJS12" s="248"/>
      <c r="WJT12" s="248"/>
      <c r="WJU12" s="248"/>
      <c r="WJV12" s="248"/>
      <c r="WJW12" s="248"/>
      <c r="WJX12" s="248"/>
      <c r="WJY12" s="248"/>
      <c r="WJZ12" s="248"/>
      <c r="WKA12" s="248"/>
      <c r="WKB12" s="248"/>
      <c r="WKC12" s="248"/>
      <c r="WKD12" s="248"/>
      <c r="WKE12" s="248"/>
      <c r="WKF12" s="248"/>
      <c r="WKG12" s="248"/>
      <c r="WKH12" s="248"/>
      <c r="WKI12" s="248"/>
      <c r="WKJ12" s="248"/>
      <c r="WKK12" s="248"/>
      <c r="WKL12" s="248"/>
      <c r="WKM12" s="248"/>
      <c r="WKN12" s="248"/>
      <c r="WKO12" s="248"/>
      <c r="WKP12" s="248"/>
      <c r="WKQ12" s="248"/>
      <c r="WKR12" s="248"/>
      <c r="WKS12" s="248"/>
      <c r="WKT12" s="248"/>
      <c r="WKU12" s="248"/>
      <c r="WKV12" s="248"/>
      <c r="WKW12" s="248"/>
      <c r="WKX12" s="248"/>
      <c r="WKY12" s="248"/>
      <c r="WKZ12" s="248"/>
      <c r="WLA12" s="248"/>
      <c r="WLB12" s="248"/>
      <c r="WLC12" s="248"/>
      <c r="WLD12" s="248"/>
      <c r="WLE12" s="248"/>
      <c r="WLF12" s="248"/>
      <c r="WLG12" s="248"/>
      <c r="WLH12" s="248"/>
      <c r="WLI12" s="248"/>
      <c r="WLJ12" s="248"/>
      <c r="WLK12" s="248"/>
      <c r="WLL12" s="248"/>
      <c r="WLM12" s="248"/>
      <c r="WLN12" s="248"/>
      <c r="WLO12" s="248"/>
      <c r="WLP12" s="248"/>
      <c r="WLQ12" s="248"/>
      <c r="WLR12" s="248"/>
      <c r="WLS12" s="248"/>
      <c r="WLT12" s="248"/>
      <c r="WLU12" s="248"/>
      <c r="WLV12" s="248"/>
      <c r="WLW12" s="248"/>
      <c r="WLX12" s="248"/>
      <c r="WLY12" s="248"/>
      <c r="WLZ12" s="248"/>
      <c r="WMA12" s="248"/>
      <c r="WMB12" s="248"/>
      <c r="WMC12" s="248"/>
      <c r="WMD12" s="248"/>
      <c r="WME12" s="248"/>
      <c r="WMF12" s="248"/>
      <c r="WMG12" s="248"/>
      <c r="WMH12" s="248"/>
      <c r="WMI12" s="248"/>
      <c r="WMJ12" s="248"/>
      <c r="WMK12" s="248"/>
      <c r="WML12" s="248"/>
      <c r="WMM12" s="248"/>
      <c r="WMN12" s="248"/>
      <c r="WMO12" s="248"/>
      <c r="WMP12" s="248"/>
      <c r="WMQ12" s="248"/>
      <c r="WMR12" s="248"/>
      <c r="WMS12" s="248"/>
      <c r="WMT12" s="248"/>
      <c r="WMU12" s="248"/>
      <c r="WMV12" s="248"/>
      <c r="WMW12" s="248"/>
      <c r="WMX12" s="248"/>
      <c r="WMY12" s="248"/>
      <c r="WMZ12" s="248"/>
      <c r="WNA12" s="248"/>
      <c r="WNB12" s="248"/>
      <c r="WNC12" s="248"/>
      <c r="WND12" s="248"/>
      <c r="WNE12" s="248"/>
      <c r="WNF12" s="248"/>
      <c r="WNG12" s="248"/>
      <c r="WNH12" s="248"/>
      <c r="WNI12" s="248"/>
      <c r="WNJ12" s="248"/>
      <c r="WNK12" s="248"/>
      <c r="WNL12" s="248"/>
      <c r="WNM12" s="248"/>
      <c r="WNN12" s="248"/>
      <c r="WNO12" s="248"/>
      <c r="WNP12" s="248"/>
      <c r="WNQ12" s="248"/>
      <c r="WNR12" s="248"/>
      <c r="WNS12" s="248"/>
      <c r="WNT12" s="248"/>
      <c r="WNU12" s="248"/>
      <c r="WNV12" s="248"/>
      <c r="WNW12" s="248"/>
      <c r="WNX12" s="248"/>
      <c r="WNY12" s="248"/>
      <c r="WNZ12" s="248"/>
      <c r="WOA12" s="248"/>
      <c r="WOB12" s="248"/>
      <c r="WOC12" s="248"/>
      <c r="WOD12" s="248"/>
      <c r="WOE12" s="248"/>
      <c r="WOF12" s="248"/>
      <c r="WOG12" s="248"/>
      <c r="WOH12" s="248"/>
      <c r="WOI12" s="248"/>
      <c r="WOJ12" s="248"/>
      <c r="WOK12" s="248"/>
      <c r="WOL12" s="248"/>
      <c r="WOM12" s="248"/>
      <c r="WON12" s="248"/>
      <c r="WOO12" s="248"/>
      <c r="WOP12" s="248"/>
      <c r="WOQ12" s="248"/>
      <c r="WOR12" s="248"/>
      <c r="WOS12" s="248"/>
      <c r="WOT12" s="248"/>
      <c r="WOU12" s="248"/>
      <c r="WOV12" s="248"/>
      <c r="WOW12" s="248"/>
      <c r="WOX12" s="248"/>
      <c r="WOY12" s="248"/>
      <c r="WOZ12" s="248"/>
      <c r="WPA12" s="248"/>
      <c r="WPB12" s="248"/>
      <c r="WPC12" s="248"/>
      <c r="WPD12" s="248"/>
      <c r="WPE12" s="248"/>
      <c r="WPF12" s="248"/>
      <c r="WPG12" s="248"/>
      <c r="WPH12" s="248"/>
      <c r="WPI12" s="248"/>
      <c r="WPJ12" s="248"/>
      <c r="WPK12" s="248"/>
      <c r="WPL12" s="248"/>
      <c r="WPM12" s="248"/>
      <c r="WPN12" s="248"/>
      <c r="WPO12" s="248"/>
      <c r="WPP12" s="248"/>
      <c r="WPQ12" s="248"/>
      <c r="WPR12" s="248"/>
      <c r="WPS12" s="248"/>
      <c r="WPT12" s="248"/>
      <c r="WPU12" s="248"/>
      <c r="WPV12" s="248"/>
      <c r="WPW12" s="248"/>
      <c r="WPX12" s="248"/>
      <c r="WPY12" s="248"/>
      <c r="WPZ12" s="248"/>
      <c r="WQA12" s="248"/>
      <c r="WQB12" s="248"/>
      <c r="WQC12" s="248"/>
      <c r="WQD12" s="248"/>
      <c r="WQE12" s="248"/>
      <c r="WQF12" s="248"/>
      <c r="WQG12" s="248"/>
      <c r="WQH12" s="248"/>
      <c r="WQI12" s="248"/>
      <c r="WQJ12" s="248"/>
      <c r="WQK12" s="248"/>
      <c r="WQL12" s="248"/>
      <c r="WQM12" s="248"/>
      <c r="WQN12" s="248"/>
      <c r="WQO12" s="248"/>
      <c r="WQP12" s="248"/>
      <c r="WQQ12" s="248"/>
      <c r="WQR12" s="248"/>
      <c r="WQS12" s="248"/>
      <c r="WQT12" s="248"/>
      <c r="WQU12" s="248"/>
      <c r="WQV12" s="248"/>
      <c r="WQW12" s="248"/>
      <c r="WQX12" s="248"/>
      <c r="WQY12" s="248"/>
      <c r="WQZ12" s="248"/>
      <c r="WRA12" s="248"/>
      <c r="WRB12" s="248"/>
      <c r="WRC12" s="248"/>
      <c r="WRD12" s="248"/>
      <c r="WRE12" s="248"/>
      <c r="WRF12" s="248"/>
      <c r="WRG12" s="248"/>
      <c r="WRH12" s="248"/>
      <c r="WRI12" s="248"/>
      <c r="WRJ12" s="248"/>
      <c r="WRK12" s="248"/>
      <c r="WRL12" s="248"/>
      <c r="WRM12" s="248"/>
      <c r="WRN12" s="248"/>
      <c r="WRO12" s="248"/>
      <c r="WRP12" s="248"/>
      <c r="WRQ12" s="248"/>
      <c r="WRR12" s="248"/>
      <c r="WRS12" s="248"/>
      <c r="WRT12" s="248"/>
      <c r="WRU12" s="248"/>
      <c r="WRV12" s="248"/>
      <c r="WRW12" s="248"/>
      <c r="WRX12" s="248"/>
      <c r="WRY12" s="248"/>
      <c r="WRZ12" s="248"/>
      <c r="WSA12" s="248"/>
      <c r="WSB12" s="248"/>
      <c r="WSC12" s="248"/>
      <c r="WSD12" s="248"/>
      <c r="WSE12" s="248"/>
      <c r="WSF12" s="248"/>
      <c r="WSG12" s="248"/>
      <c r="WSH12" s="248"/>
      <c r="WSI12" s="248"/>
      <c r="WSJ12" s="248"/>
      <c r="WSK12" s="248"/>
      <c r="WSL12" s="248"/>
      <c r="WSM12" s="248"/>
      <c r="WSN12" s="248"/>
      <c r="WSO12" s="248"/>
      <c r="WSP12" s="248"/>
      <c r="WSQ12" s="248"/>
      <c r="WSR12" s="248"/>
      <c r="WSS12" s="248"/>
      <c r="WST12" s="248"/>
      <c r="WSU12" s="248"/>
      <c r="WSV12" s="248"/>
      <c r="WSW12" s="248"/>
      <c r="WSX12" s="248"/>
      <c r="WSY12" s="248"/>
      <c r="WSZ12" s="248"/>
      <c r="WTA12" s="248"/>
      <c r="WTB12" s="248"/>
      <c r="WTC12" s="248"/>
      <c r="WTD12" s="248"/>
      <c r="WTE12" s="248"/>
      <c r="WTF12" s="248"/>
      <c r="WTG12" s="248"/>
      <c r="WTH12" s="248"/>
      <c r="WTI12" s="248"/>
      <c r="WTJ12" s="248"/>
      <c r="WTK12" s="248"/>
      <c r="WTL12" s="248"/>
      <c r="WTM12" s="248"/>
      <c r="WTN12" s="248"/>
      <c r="WTO12" s="248"/>
      <c r="WTP12" s="248"/>
      <c r="WTQ12" s="248"/>
      <c r="WTR12" s="248"/>
      <c r="WTS12" s="248"/>
      <c r="WTT12" s="248"/>
      <c r="WTU12" s="248"/>
      <c r="WTV12" s="248"/>
      <c r="WTW12" s="248"/>
      <c r="WTX12" s="248"/>
      <c r="WTY12" s="248"/>
      <c r="WTZ12" s="248"/>
      <c r="WUA12" s="248"/>
      <c r="WUB12" s="248"/>
      <c r="WUC12" s="248"/>
      <c r="WUD12" s="248"/>
      <c r="WUE12" s="248"/>
      <c r="WUF12" s="248"/>
      <c r="WUG12" s="248"/>
      <c r="WUH12" s="248"/>
      <c r="WUI12" s="248"/>
      <c r="WUJ12" s="248"/>
      <c r="WUK12" s="248"/>
      <c r="WUL12" s="248"/>
      <c r="WUM12" s="248"/>
      <c r="WUN12" s="248"/>
      <c r="WUO12" s="248"/>
      <c r="WUP12" s="248"/>
      <c r="WUQ12" s="248"/>
      <c r="WUR12" s="248"/>
      <c r="WUS12" s="248"/>
      <c r="WUT12" s="248"/>
      <c r="WUU12" s="248"/>
      <c r="WUV12" s="248"/>
      <c r="WUW12" s="248"/>
      <c r="WUX12" s="248"/>
      <c r="WUY12" s="248"/>
      <c r="WUZ12" s="248"/>
      <c r="WVA12" s="248"/>
      <c r="WVB12" s="248"/>
      <c r="WVC12" s="248"/>
      <c r="WVD12" s="248"/>
      <c r="WVE12" s="248"/>
      <c r="WVF12" s="248"/>
      <c r="WVG12" s="248"/>
      <c r="WVH12" s="248"/>
      <c r="WVI12" s="248"/>
      <c r="WVJ12" s="248"/>
      <c r="WVK12" s="248"/>
      <c r="WVL12" s="248"/>
      <c r="WVM12" s="248"/>
      <c r="WVN12" s="248"/>
      <c r="WVO12" s="248"/>
      <c r="WVP12" s="248"/>
      <c r="WVQ12" s="248"/>
      <c r="WVR12" s="248"/>
      <c r="WVS12" s="248"/>
      <c r="WVT12" s="248"/>
      <c r="WVU12" s="248"/>
      <c r="WVV12" s="248"/>
      <c r="WVW12" s="248"/>
      <c r="WVX12" s="248"/>
      <c r="WVY12" s="248"/>
      <c r="WVZ12" s="248"/>
      <c r="WWA12" s="248"/>
      <c r="WWB12" s="248"/>
      <c r="WWC12" s="248"/>
      <c r="WWD12" s="248"/>
      <c r="WWE12" s="248"/>
      <c r="WWF12" s="248"/>
      <c r="WWG12" s="248"/>
      <c r="WWH12" s="248"/>
      <c r="WWI12" s="248"/>
      <c r="WWJ12" s="248"/>
      <c r="WWK12" s="248"/>
      <c r="WWL12" s="248"/>
      <c r="WWM12" s="248"/>
      <c r="WWN12" s="248"/>
      <c r="WWO12" s="248"/>
      <c r="WWP12" s="248"/>
      <c r="WWQ12" s="248"/>
      <c r="WWR12" s="248"/>
      <c r="WWS12" s="248"/>
      <c r="WWT12" s="248"/>
      <c r="WWU12" s="248"/>
      <c r="WWV12" s="248"/>
      <c r="WWW12" s="248"/>
      <c r="WWX12" s="248"/>
      <c r="WWY12" s="248"/>
      <c r="WWZ12" s="248"/>
      <c r="WXA12" s="248"/>
      <c r="WXB12" s="248"/>
      <c r="WXC12" s="248"/>
      <c r="WXD12" s="248"/>
      <c r="WXE12" s="248"/>
      <c r="WXF12" s="248"/>
      <c r="WXG12" s="248"/>
      <c r="WXH12" s="248"/>
      <c r="WXI12" s="248"/>
      <c r="WXJ12" s="248"/>
      <c r="WXK12" s="248"/>
      <c r="WXL12" s="248"/>
      <c r="WXM12" s="248"/>
      <c r="WXN12" s="248"/>
      <c r="WXO12" s="248"/>
      <c r="WXP12" s="248"/>
      <c r="WXQ12" s="248"/>
      <c r="WXR12" s="248"/>
      <c r="WXS12" s="248"/>
      <c r="WXT12" s="248"/>
      <c r="WXU12" s="248"/>
      <c r="WXV12" s="248"/>
      <c r="WXW12" s="248"/>
      <c r="WXX12" s="248"/>
      <c r="WXY12" s="248"/>
      <c r="WXZ12" s="248"/>
      <c r="WYA12" s="248"/>
      <c r="WYB12" s="248"/>
      <c r="WYC12" s="248"/>
      <c r="WYD12" s="248"/>
      <c r="WYE12" s="248"/>
      <c r="WYF12" s="248"/>
      <c r="WYG12" s="248"/>
      <c r="WYH12" s="248"/>
      <c r="WYI12" s="248"/>
      <c r="WYJ12" s="248"/>
      <c r="WYK12" s="248"/>
      <c r="WYL12" s="248"/>
      <c r="WYM12" s="248"/>
      <c r="WYN12" s="248"/>
      <c r="WYO12" s="248"/>
      <c r="WYP12" s="248"/>
      <c r="WYQ12" s="248"/>
      <c r="WYR12" s="248"/>
      <c r="WYS12" s="248"/>
      <c r="WYT12" s="248"/>
      <c r="WYU12" s="248"/>
      <c r="WYV12" s="248"/>
      <c r="WYW12" s="248"/>
      <c r="WYX12" s="248"/>
      <c r="WYY12" s="248"/>
      <c r="WYZ12" s="248"/>
      <c r="WZA12" s="248"/>
      <c r="WZB12" s="248"/>
      <c r="WZC12" s="248"/>
      <c r="WZD12" s="248"/>
      <c r="WZE12" s="248"/>
      <c r="WZF12" s="248"/>
      <c r="WZG12" s="248"/>
      <c r="WZH12" s="248"/>
      <c r="WZI12" s="248"/>
      <c r="WZJ12" s="248"/>
      <c r="WZK12" s="248"/>
      <c r="WZL12" s="248"/>
      <c r="WZM12" s="248"/>
      <c r="WZN12" s="248"/>
      <c r="WZO12" s="248"/>
      <c r="WZP12" s="248"/>
      <c r="WZQ12" s="248"/>
      <c r="WZR12" s="248"/>
      <c r="WZS12" s="248"/>
      <c r="WZT12" s="248"/>
      <c r="WZU12" s="248"/>
      <c r="WZV12" s="248"/>
      <c r="WZW12" s="248"/>
      <c r="WZX12" s="248"/>
      <c r="WZY12" s="248"/>
      <c r="WZZ12" s="248"/>
      <c r="XAA12" s="248"/>
      <c r="XAB12" s="248"/>
      <c r="XAC12" s="248"/>
      <c r="XAD12" s="248"/>
      <c r="XAE12" s="248"/>
      <c r="XAF12" s="248"/>
      <c r="XAG12" s="248"/>
      <c r="XAH12" s="248"/>
      <c r="XAI12" s="248"/>
      <c r="XAJ12" s="248"/>
      <c r="XAK12" s="248"/>
      <c r="XAL12" s="248"/>
      <c r="XAM12" s="248"/>
      <c r="XAN12" s="248"/>
      <c r="XAO12" s="248"/>
      <c r="XAP12" s="248"/>
      <c r="XAQ12" s="248"/>
      <c r="XAR12" s="248"/>
      <c r="XAS12" s="248"/>
      <c r="XAT12" s="248"/>
      <c r="XAU12" s="248"/>
      <c r="XAV12" s="248"/>
      <c r="XAW12" s="248"/>
      <c r="XAX12" s="248"/>
      <c r="XAY12" s="248"/>
      <c r="XAZ12" s="248"/>
      <c r="XBA12" s="248"/>
      <c r="XBB12" s="248"/>
      <c r="XBC12" s="248"/>
      <c r="XBD12" s="248"/>
      <c r="XBE12" s="248"/>
      <c r="XBF12" s="248"/>
      <c r="XBG12" s="248"/>
      <c r="XBH12" s="248"/>
      <c r="XBI12" s="248"/>
      <c r="XBJ12" s="248"/>
      <c r="XBK12" s="248"/>
      <c r="XBL12" s="248"/>
      <c r="XBM12" s="248"/>
      <c r="XBN12" s="248"/>
      <c r="XBO12" s="248"/>
      <c r="XBP12" s="248"/>
      <c r="XBQ12" s="248"/>
      <c r="XBR12" s="248"/>
      <c r="XBS12" s="248"/>
      <c r="XBT12" s="248"/>
      <c r="XBU12" s="248"/>
      <c r="XBV12" s="248"/>
      <c r="XBW12" s="248"/>
      <c r="XBX12" s="248"/>
      <c r="XBY12" s="248"/>
      <c r="XBZ12" s="248"/>
      <c r="XCA12" s="248"/>
      <c r="XCB12" s="248"/>
      <c r="XCC12" s="248"/>
      <c r="XCD12" s="248"/>
      <c r="XCE12" s="248"/>
      <c r="XCF12" s="248"/>
      <c r="XCG12" s="248"/>
      <c r="XCH12" s="248"/>
      <c r="XCI12" s="248"/>
      <c r="XCJ12" s="248"/>
      <c r="XCK12" s="248"/>
      <c r="XCL12" s="248"/>
      <c r="XCM12" s="248"/>
      <c r="XCN12" s="248"/>
      <c r="XCO12" s="248"/>
      <c r="XCP12" s="248"/>
      <c r="XCQ12" s="248"/>
      <c r="XCR12" s="248"/>
      <c r="XCS12" s="248"/>
      <c r="XCT12" s="248"/>
      <c r="XCU12" s="248"/>
      <c r="XCV12" s="248"/>
      <c r="XCW12" s="248"/>
      <c r="XCX12" s="248"/>
      <c r="XCY12" s="248"/>
      <c r="XCZ12" s="248"/>
      <c r="XDA12" s="248"/>
      <c r="XDB12" s="248"/>
      <c r="XDC12" s="248"/>
      <c r="XDD12" s="248"/>
      <c r="XDE12" s="248"/>
      <c r="XDF12" s="248"/>
      <c r="XDG12" s="248"/>
      <c r="XDH12" s="248"/>
      <c r="XDI12" s="248"/>
      <c r="XDJ12" s="248"/>
      <c r="XDK12" s="248"/>
      <c r="XDL12" s="248"/>
      <c r="XDM12" s="248"/>
      <c r="XDN12" s="248"/>
      <c r="XDO12" s="248"/>
      <c r="XDP12" s="248"/>
      <c r="XDQ12" s="248"/>
      <c r="XDR12" s="248"/>
      <c r="XDS12" s="248"/>
      <c r="XDT12" s="248"/>
      <c r="XDU12" s="248"/>
      <c r="XDV12" s="248"/>
      <c r="XDW12" s="248"/>
      <c r="XDX12" s="248"/>
      <c r="XDY12" s="248"/>
      <c r="XDZ12" s="248"/>
      <c r="XEA12" s="248"/>
      <c r="XEB12" s="248"/>
      <c r="XEC12" s="248"/>
      <c r="XED12" s="248"/>
      <c r="XEE12" s="248"/>
      <c r="XEF12" s="248"/>
      <c r="XEG12" s="248"/>
      <c r="XEH12" s="248"/>
      <c r="XEI12" s="248"/>
      <c r="XEJ12" s="248"/>
      <c r="XEK12" s="248"/>
      <c r="XEL12" s="248"/>
      <c r="XEM12" s="248"/>
      <c r="XEN12" s="248"/>
      <c r="XEO12" s="248"/>
      <c r="XEP12" s="248"/>
      <c r="XEQ12" s="248"/>
      <c r="XER12" s="248"/>
      <c r="XES12" s="248"/>
      <c r="XET12" s="248"/>
      <c r="XEU12" s="248"/>
      <c r="XEV12" s="248"/>
      <c r="XEW12" s="248"/>
      <c r="XEX12" s="248"/>
      <c r="XEY12" s="248"/>
      <c r="XEZ12" s="248"/>
      <c r="XFA12" s="248"/>
      <c r="XFB12" s="248"/>
      <c r="XFC12" s="248"/>
    </row>
  </sheetData>
  <pageMargins left="0.7" right="0.7" top="0.75" bottom="0.75" header="0.3" footer="0.3"/>
  <customProperties>
    <customPr name="GUID" r:id="rId1"/>
  </customPropertie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lha21"/>
  <dimension ref="A1:F7"/>
  <sheetViews>
    <sheetView workbookViewId="0">
      <selection activeCell="A26" sqref="A26"/>
    </sheetView>
  </sheetViews>
  <sheetFormatPr defaultRowHeight="15" x14ac:dyDescent="0.25"/>
  <cols>
    <col min="1" max="1" width="30.42578125" bestFit="1" customWidth="1"/>
    <col min="2" max="3" width="31.5703125" customWidth="1"/>
    <col min="4" max="4" width="13.140625" customWidth="1"/>
    <col min="5" max="5" width="14.7109375" customWidth="1"/>
    <col min="6" max="6" width="12.140625" customWidth="1"/>
    <col min="7" max="10" width="9.5703125" bestFit="1" customWidth="1"/>
    <col min="11" max="11" width="7.85546875" bestFit="1" customWidth="1"/>
    <col min="12" max="12" width="10.5703125" bestFit="1" customWidth="1"/>
  </cols>
  <sheetData>
    <row r="1" spans="1:6" ht="18" x14ac:dyDescent="0.35">
      <c r="A1" s="65" t="s">
        <v>123</v>
      </c>
      <c r="B1" s="65" t="s">
        <v>190</v>
      </c>
      <c r="C1" s="65" t="s">
        <v>511</v>
      </c>
      <c r="D1" s="65" t="s">
        <v>124</v>
      </c>
      <c r="E1" s="65" t="s">
        <v>602</v>
      </c>
      <c r="F1" s="40" t="s">
        <v>125</v>
      </c>
    </row>
    <row r="2" spans="1:6" x14ac:dyDescent="0.25">
      <c r="A2" s="78" t="s">
        <v>635</v>
      </c>
      <c r="B2" s="78" t="s">
        <v>601</v>
      </c>
      <c r="C2" s="78" t="s">
        <v>634</v>
      </c>
      <c r="D2" s="40" t="s">
        <v>600</v>
      </c>
      <c r="E2" s="40" t="s">
        <v>3</v>
      </c>
      <c r="F2" s="163">
        <v>0.13961999999999999</v>
      </c>
    </row>
    <row r="3" spans="1:6" x14ac:dyDescent="0.25">
      <c r="A3" s="78" t="s">
        <v>635</v>
      </c>
      <c r="B3" s="78" t="s">
        <v>601</v>
      </c>
      <c r="C3" s="78" t="s">
        <v>634</v>
      </c>
      <c r="D3" s="40" t="s">
        <v>600</v>
      </c>
      <c r="E3" s="40" t="s">
        <v>42</v>
      </c>
      <c r="F3" s="163">
        <v>0.19997999999999999</v>
      </c>
    </row>
    <row r="4" spans="1:6" x14ac:dyDescent="0.25">
      <c r="A4" s="78" t="s">
        <v>635</v>
      </c>
      <c r="B4" s="78" t="s">
        <v>601</v>
      </c>
      <c r="C4" s="78" t="s">
        <v>634</v>
      </c>
      <c r="D4" s="40" t="s">
        <v>600</v>
      </c>
      <c r="E4" s="40" t="s">
        <v>92</v>
      </c>
      <c r="F4" s="163">
        <v>0.11842</v>
      </c>
    </row>
    <row r="5" spans="1:6" x14ac:dyDescent="0.25">
      <c r="A5" s="78" t="s">
        <v>635</v>
      </c>
      <c r="B5" s="78" t="s">
        <v>601</v>
      </c>
      <c r="C5" s="78" t="s">
        <v>634</v>
      </c>
      <c r="D5" s="40" t="s">
        <v>600</v>
      </c>
      <c r="E5" s="40" t="s">
        <v>44</v>
      </c>
      <c r="F5" s="163">
        <v>7.5029999999999999E-2</v>
      </c>
    </row>
    <row r="6" spans="1:6" x14ac:dyDescent="0.25">
      <c r="A6" s="78" t="s">
        <v>635</v>
      </c>
      <c r="B6" s="78" t="s">
        <v>601</v>
      </c>
      <c r="C6" s="78" t="s">
        <v>634</v>
      </c>
      <c r="D6" s="40" t="s">
        <v>600</v>
      </c>
      <c r="E6" s="40" t="s">
        <v>603</v>
      </c>
      <c r="F6" s="163">
        <v>0.14147000000000001</v>
      </c>
    </row>
    <row r="7" spans="1:6" x14ac:dyDescent="0.25">
      <c r="A7" s="78" t="s">
        <v>635</v>
      </c>
      <c r="B7" s="78" t="s">
        <v>601</v>
      </c>
      <c r="C7" s="78" t="s">
        <v>634</v>
      </c>
      <c r="D7" s="40" t="s">
        <v>600</v>
      </c>
      <c r="E7" s="40" t="s">
        <v>486</v>
      </c>
      <c r="F7" s="164">
        <v>5.8439999999999999E-2</v>
      </c>
    </row>
  </sheetData>
  <conditionalFormatting sqref="F2:F7">
    <cfRule type="expression" dxfId="7" priority="1">
      <formula>IF(F2="",TRUE,FALSE)</formula>
    </cfRule>
  </conditionalFormatting>
  <pageMargins left="0.7" right="0.7" top="0.75" bottom="0.75" header="0.3" footer="0.3"/>
  <customProperties>
    <customPr name="GUID" r:id="rId1"/>
  </customPropertie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2"/>
  <dimension ref="A1:AD39"/>
  <sheetViews>
    <sheetView workbookViewId="0">
      <selection activeCell="E36" sqref="A32:E36"/>
    </sheetView>
  </sheetViews>
  <sheetFormatPr defaultRowHeight="15" x14ac:dyDescent="0.25"/>
  <cols>
    <col min="1" max="1" width="24.5703125" customWidth="1"/>
    <col min="2" max="2" width="34.5703125" customWidth="1"/>
    <col min="3" max="3" width="20.42578125" customWidth="1"/>
    <col min="4" max="6" width="15" customWidth="1"/>
    <col min="7" max="7" width="16.42578125" customWidth="1"/>
    <col min="8" max="9" width="14.42578125" bestFit="1" customWidth="1"/>
    <col min="13" max="13" width="9.42578125" bestFit="1" customWidth="1"/>
    <col min="20" max="20" width="19.42578125" bestFit="1" customWidth="1"/>
    <col min="21" max="21" width="24" bestFit="1" customWidth="1"/>
    <col min="22" max="23" width="5" bestFit="1" customWidth="1"/>
    <col min="24" max="26" width="14.42578125" bestFit="1" customWidth="1"/>
    <col min="27" max="27" width="7.5703125" bestFit="1" customWidth="1"/>
    <col min="28" max="28" width="4.5703125" bestFit="1" customWidth="1"/>
    <col min="29" max="29" width="6.5703125" bestFit="1" customWidth="1"/>
    <col min="30" max="30" width="9.42578125" bestFit="1" customWidth="1"/>
  </cols>
  <sheetData>
    <row r="1" spans="1:7" x14ac:dyDescent="0.25">
      <c r="A1" t="s">
        <v>521</v>
      </c>
      <c r="B1" t="s">
        <v>414</v>
      </c>
      <c r="C1" t="s">
        <v>415</v>
      </c>
      <c r="D1" t="s">
        <v>523</v>
      </c>
      <c r="E1" t="s">
        <v>524</v>
      </c>
      <c r="F1" t="s">
        <v>769</v>
      </c>
      <c r="G1" t="s">
        <v>557</v>
      </c>
    </row>
    <row r="2" spans="1:7" x14ac:dyDescent="0.25">
      <c r="A2" t="s">
        <v>555</v>
      </c>
      <c r="B2" t="s">
        <v>522</v>
      </c>
      <c r="C2" t="s">
        <v>553</v>
      </c>
      <c r="D2">
        <v>0.12039999999999999</v>
      </c>
      <c r="E2">
        <v>0</v>
      </c>
      <c r="F2" t="s">
        <v>507</v>
      </c>
      <c r="G2" t="s">
        <v>558</v>
      </c>
    </row>
    <row r="3" spans="1:7" x14ac:dyDescent="0.25">
      <c r="A3" t="s">
        <v>556</v>
      </c>
      <c r="B3" t="s">
        <v>522</v>
      </c>
      <c r="C3" t="s">
        <v>553</v>
      </c>
      <c r="D3">
        <v>0.12039999999999999</v>
      </c>
      <c r="E3">
        <v>0</v>
      </c>
      <c r="F3" t="s">
        <v>507</v>
      </c>
      <c r="G3" t="s">
        <v>558</v>
      </c>
    </row>
    <row r="4" spans="1:7" x14ac:dyDescent="0.25">
      <c r="A4" t="s">
        <v>525</v>
      </c>
      <c r="B4" t="s">
        <v>526</v>
      </c>
      <c r="C4" t="s">
        <v>455</v>
      </c>
      <c r="D4">
        <v>0</v>
      </c>
      <c r="E4">
        <v>0</v>
      </c>
      <c r="F4" t="s">
        <v>587</v>
      </c>
    </row>
    <row r="5" spans="1:7" x14ac:dyDescent="0.25">
      <c r="A5" t="s">
        <v>525</v>
      </c>
      <c r="B5" t="s">
        <v>526</v>
      </c>
      <c r="C5" t="s">
        <v>455</v>
      </c>
      <c r="D5">
        <v>0</v>
      </c>
      <c r="E5">
        <v>0</v>
      </c>
      <c r="F5" t="s">
        <v>643</v>
      </c>
    </row>
    <row r="6" spans="1:7" x14ac:dyDescent="0.25">
      <c r="A6" t="s">
        <v>525</v>
      </c>
      <c r="B6" t="s">
        <v>526</v>
      </c>
      <c r="C6" t="s">
        <v>455</v>
      </c>
      <c r="D6">
        <v>0</v>
      </c>
      <c r="E6">
        <v>0</v>
      </c>
      <c r="F6" t="s">
        <v>644</v>
      </c>
    </row>
    <row r="7" spans="1:7" x14ac:dyDescent="0.25">
      <c r="A7" t="s">
        <v>562</v>
      </c>
      <c r="B7" t="s">
        <v>522</v>
      </c>
      <c r="C7" t="s">
        <v>554</v>
      </c>
      <c r="D7">
        <v>0.71740000000000004</v>
      </c>
      <c r="E7">
        <v>0</v>
      </c>
      <c r="F7" t="s">
        <v>507</v>
      </c>
      <c r="G7" t="s">
        <v>559</v>
      </c>
    </row>
    <row r="8" spans="1:7" x14ac:dyDescent="0.25">
      <c r="A8" t="s">
        <v>561</v>
      </c>
      <c r="B8" t="s">
        <v>522</v>
      </c>
      <c r="C8" t="s">
        <v>554</v>
      </c>
      <c r="D8">
        <v>0.65549999999999997</v>
      </c>
      <c r="E8">
        <v>0</v>
      </c>
      <c r="F8" t="s">
        <v>507</v>
      </c>
      <c r="G8" t="s">
        <v>559</v>
      </c>
    </row>
    <row r="9" spans="1:7" x14ac:dyDescent="0.25">
      <c r="A9" t="s">
        <v>563</v>
      </c>
      <c r="B9" t="s">
        <v>522</v>
      </c>
      <c r="C9" t="s">
        <v>554</v>
      </c>
      <c r="D9">
        <v>0.70779999999999998</v>
      </c>
      <c r="E9">
        <v>0</v>
      </c>
      <c r="F9" t="s">
        <v>507</v>
      </c>
      <c r="G9" t="s">
        <v>559</v>
      </c>
    </row>
    <row r="18" spans="3:30" x14ac:dyDescent="0.25">
      <c r="T18" t="s">
        <v>550</v>
      </c>
      <c r="U18" s="10"/>
      <c r="V18" s="10"/>
    </row>
    <row r="19" spans="3:30" x14ac:dyDescent="0.25">
      <c r="U19" s="10"/>
      <c r="V19" s="10"/>
    </row>
    <row r="20" spans="3:30" x14ac:dyDescent="0.25">
      <c r="U20" s="10"/>
      <c r="V20" s="10"/>
    </row>
    <row r="21" spans="3:30" x14ac:dyDescent="0.25">
      <c r="U21" s="10" t="s">
        <v>534</v>
      </c>
      <c r="V21" s="10"/>
    </row>
    <row r="22" spans="3:30" x14ac:dyDescent="0.25">
      <c r="U22" s="10" t="s">
        <v>532</v>
      </c>
      <c r="V22" s="10"/>
    </row>
    <row r="23" spans="3:30" x14ac:dyDescent="0.25">
      <c r="T23" t="s">
        <v>530</v>
      </c>
      <c r="U23" s="10">
        <v>1602</v>
      </c>
      <c r="V23" s="468">
        <f>U23+U24+U25+U26</f>
        <v>1932</v>
      </c>
      <c r="W23" s="470">
        <f>V23+U27</f>
        <v>3833</v>
      </c>
      <c r="X23" s="144">
        <v>2777782.5</v>
      </c>
      <c r="Y23" s="469">
        <f>X23+X24+X25+X26</f>
        <v>2886435.98</v>
      </c>
      <c r="Z23" s="469">
        <f>Y23+X27</f>
        <v>5343262.9800000004</v>
      </c>
      <c r="AA23" s="71">
        <f t="shared" ref="AA23:AA26" si="0">U23*1000/X23</f>
        <v>0.57671901957766669</v>
      </c>
      <c r="AB23" s="471">
        <f>V23*1000/Y23</f>
        <v>0.66933755447435905</v>
      </c>
      <c r="AC23" s="472">
        <f>W23*1000/Z23</f>
        <v>0.71735192790379931</v>
      </c>
      <c r="AD23" s="467">
        <f>+SUM(U23:U28)/SUM(X23:X28)*1000</f>
        <v>0.70776423118620879</v>
      </c>
    </row>
    <row r="24" spans="3:30" x14ac:dyDescent="0.25">
      <c r="T24" t="s">
        <v>529</v>
      </c>
      <c r="U24" s="10">
        <v>198</v>
      </c>
      <c r="V24" s="468"/>
      <c r="W24" s="470"/>
      <c r="X24" s="144">
        <v>97296.48</v>
      </c>
      <c r="Y24" s="470"/>
      <c r="Z24" s="470"/>
      <c r="AA24" s="71">
        <f t="shared" si="0"/>
        <v>2.035017094143591</v>
      </c>
      <c r="AB24" s="471"/>
      <c r="AC24" s="472"/>
      <c r="AD24" s="467"/>
    </row>
    <row r="25" spans="3:30" x14ac:dyDescent="0.25">
      <c r="T25" t="s">
        <v>527</v>
      </c>
      <c r="U25" s="10">
        <v>67</v>
      </c>
      <c r="V25" s="468"/>
      <c r="W25" s="470"/>
      <c r="X25">
        <v>4844.99</v>
      </c>
      <c r="Y25" s="470"/>
      <c r="Z25" s="470"/>
      <c r="AA25" s="71">
        <f t="shared" si="0"/>
        <v>13.82871791273047</v>
      </c>
      <c r="AB25" s="471"/>
      <c r="AC25" s="472"/>
      <c r="AD25" s="467"/>
    </row>
    <row r="26" spans="3:30" x14ac:dyDescent="0.25">
      <c r="T26" t="s">
        <v>528</v>
      </c>
      <c r="U26" s="10">
        <v>65</v>
      </c>
      <c r="V26" s="468"/>
      <c r="W26" s="470"/>
      <c r="X26" s="144">
        <v>6512.01</v>
      </c>
      <c r="Y26" s="470"/>
      <c r="Z26" s="470"/>
      <c r="AA26" s="71">
        <f t="shared" si="0"/>
        <v>9.9815571536284491</v>
      </c>
      <c r="AB26" s="471"/>
      <c r="AC26" s="472"/>
      <c r="AD26" s="467"/>
    </row>
    <row r="27" spans="3:30" x14ac:dyDescent="0.25">
      <c r="C27" s="10"/>
      <c r="D27" s="10"/>
      <c r="T27" t="s">
        <v>531</v>
      </c>
      <c r="U27" s="10">
        <v>1901</v>
      </c>
      <c r="V27" s="10"/>
      <c r="W27" s="470"/>
      <c r="X27" s="144">
        <v>2456827</v>
      </c>
      <c r="Z27" s="470"/>
      <c r="AA27" s="71">
        <f>U27*1000/X27</f>
        <v>0.77376225513640151</v>
      </c>
      <c r="AC27" s="472"/>
      <c r="AD27" s="467"/>
    </row>
    <row r="28" spans="3:30" x14ac:dyDescent="0.25">
      <c r="T28" t="s">
        <v>560</v>
      </c>
      <c r="U28" s="10">
        <v>642</v>
      </c>
      <c r="V28" s="10"/>
      <c r="X28" s="144">
        <v>979464</v>
      </c>
      <c r="AA28" s="71">
        <f>U28*1000/X28</f>
        <v>0.65546053760015677</v>
      </c>
      <c r="AD28" s="467"/>
    </row>
    <row r="29" spans="3:30" x14ac:dyDescent="0.25">
      <c r="U29" s="10"/>
      <c r="V29" s="10"/>
    </row>
    <row r="30" spans="3:30" ht="15.75" thickBot="1" x14ac:dyDescent="0.3">
      <c r="U30" s="10"/>
      <c r="V30" s="10"/>
    </row>
    <row r="31" spans="3:30" ht="15.75" thickBot="1" x14ac:dyDescent="0.3">
      <c r="T31" s="148" t="s">
        <v>535</v>
      </c>
      <c r="U31" s="145" t="s">
        <v>540</v>
      </c>
      <c r="V31" s="149"/>
      <c r="W31" s="149"/>
      <c r="X31" s="149"/>
      <c r="Y31" s="150">
        <v>250892.62</v>
      </c>
    </row>
    <row r="32" spans="3:30" ht="30.75" thickBot="1" x14ac:dyDescent="0.3">
      <c r="T32" s="148" t="s">
        <v>535</v>
      </c>
      <c r="U32" s="145" t="s">
        <v>541</v>
      </c>
      <c r="V32" s="149"/>
      <c r="W32" s="149"/>
      <c r="X32" s="149"/>
      <c r="Y32" s="151" t="s">
        <v>542</v>
      </c>
    </row>
    <row r="33" spans="20:25" ht="15.75" thickBot="1" x14ac:dyDescent="0.3">
      <c r="T33" s="148" t="s">
        <v>535</v>
      </c>
      <c r="U33" s="151" t="s">
        <v>543</v>
      </c>
      <c r="V33" s="149"/>
      <c r="W33" s="149"/>
      <c r="X33" s="149"/>
      <c r="Y33" s="151" t="s">
        <v>542</v>
      </c>
    </row>
    <row r="34" spans="20:25" ht="15.75" thickBot="1" x14ac:dyDescent="0.3">
      <c r="T34" s="148" t="s">
        <v>535</v>
      </c>
      <c r="U34" s="152" t="s">
        <v>544</v>
      </c>
      <c r="V34" s="149"/>
      <c r="W34" s="149"/>
      <c r="X34" s="149"/>
      <c r="Y34" s="151" t="s">
        <v>542</v>
      </c>
    </row>
    <row r="35" spans="20:25" ht="15.75" thickBot="1" x14ac:dyDescent="0.3">
      <c r="T35" s="148" t="s">
        <v>535</v>
      </c>
      <c r="U35" s="152" t="s">
        <v>545</v>
      </c>
      <c r="V35" s="149"/>
      <c r="W35" s="149"/>
      <c r="X35" s="149"/>
      <c r="Y35" s="150">
        <v>27813.66</v>
      </c>
    </row>
    <row r="36" spans="20:25" ht="15.75" thickBot="1" x14ac:dyDescent="0.3">
      <c r="T36" s="148" t="s">
        <v>535</v>
      </c>
      <c r="U36" s="152" t="s">
        <v>546</v>
      </c>
      <c r="V36" s="149"/>
      <c r="W36" s="149"/>
      <c r="X36" s="149"/>
      <c r="Y36" s="151" t="s">
        <v>542</v>
      </c>
    </row>
    <row r="37" spans="20:25" ht="15.75" thickBot="1" x14ac:dyDescent="0.3">
      <c r="T37" s="148" t="s">
        <v>535</v>
      </c>
      <c r="U37" s="152" t="s">
        <v>547</v>
      </c>
      <c r="V37" s="149"/>
      <c r="W37" s="149"/>
      <c r="X37" s="149"/>
      <c r="Y37" s="150">
        <v>42187.81</v>
      </c>
    </row>
    <row r="38" spans="20:25" ht="15.75" thickBot="1" x14ac:dyDescent="0.3">
      <c r="T38" s="148" t="s">
        <v>535</v>
      </c>
      <c r="U38" s="152" t="s">
        <v>548</v>
      </c>
      <c r="V38" s="149"/>
      <c r="W38" s="149"/>
      <c r="X38" s="149"/>
      <c r="Y38" s="151" t="s">
        <v>542</v>
      </c>
    </row>
    <row r="39" spans="20:25" ht="15.75" thickBot="1" x14ac:dyDescent="0.3">
      <c r="T39" s="148" t="s">
        <v>535</v>
      </c>
      <c r="U39" s="152" t="s">
        <v>549</v>
      </c>
      <c r="V39" s="149"/>
      <c r="W39" s="149"/>
      <c r="X39" s="149"/>
      <c r="Y39" s="150">
        <v>2135932.91</v>
      </c>
    </row>
  </sheetData>
  <mergeCells count="7">
    <mergeCell ref="AD23:AD28"/>
    <mergeCell ref="V23:V26"/>
    <mergeCell ref="Y23:Y26"/>
    <mergeCell ref="AB23:AB26"/>
    <mergeCell ref="Z23:Z27"/>
    <mergeCell ref="AC23:AC27"/>
    <mergeCell ref="W23:W27"/>
  </mergeCells>
  <pageMargins left="0.7" right="0.7" top="0.75" bottom="0.75" header="0.3" footer="0.3"/>
  <customProperties>
    <customPr name="GUID" r:id="rId1"/>
  </customProperties>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lha23"/>
  <dimension ref="A1:AC124"/>
  <sheetViews>
    <sheetView topLeftCell="A27" zoomScaleNormal="100" workbookViewId="0">
      <selection activeCell="D70" sqref="D70"/>
    </sheetView>
  </sheetViews>
  <sheetFormatPr defaultRowHeight="15" x14ac:dyDescent="0.25"/>
  <cols>
    <col min="1" max="1" width="30.5703125" bestFit="1" customWidth="1"/>
    <col min="2" max="2" width="31" bestFit="1" customWidth="1"/>
    <col min="3" max="3" width="31" customWidth="1"/>
    <col min="4" max="4" width="20.28515625" customWidth="1"/>
    <col min="5" max="5" width="14" bestFit="1" customWidth="1"/>
    <col min="6" max="6" width="17.140625" customWidth="1"/>
    <col min="7" max="7" width="23" style="10" bestFit="1" customWidth="1"/>
    <col min="8" max="8" width="13.5703125" style="10" customWidth="1"/>
    <col min="10" max="10" width="15.42578125" bestFit="1" customWidth="1"/>
    <col min="11" max="11" width="19" customWidth="1"/>
    <col min="13" max="13" width="13.5703125" customWidth="1"/>
    <col min="15" max="15" width="3.140625" bestFit="1" customWidth="1"/>
    <col min="18" max="18" width="20" customWidth="1"/>
    <col min="19" max="19" width="35.5703125" customWidth="1"/>
    <col min="20" max="20" width="12.140625" customWidth="1"/>
    <col min="21" max="21" width="12.5703125" customWidth="1"/>
    <col min="22" max="22" width="14.7109375" customWidth="1"/>
    <col min="23" max="23" width="15.5703125" customWidth="1"/>
    <col min="24" max="24" width="15.42578125" customWidth="1"/>
    <col min="25" max="25" width="16.140625" customWidth="1"/>
  </cols>
  <sheetData>
    <row r="1" spans="1:23" x14ac:dyDescent="0.25">
      <c r="A1" t="s">
        <v>414</v>
      </c>
      <c r="B1" t="s">
        <v>489</v>
      </c>
      <c r="C1" t="s">
        <v>565</v>
      </c>
      <c r="D1" t="s">
        <v>415</v>
      </c>
      <c r="E1" t="s">
        <v>569</v>
      </c>
      <c r="F1" t="s">
        <v>91</v>
      </c>
    </row>
    <row r="2" spans="1:23" x14ac:dyDescent="0.25">
      <c r="A2" t="s">
        <v>564</v>
      </c>
      <c r="B2" t="s">
        <v>57</v>
      </c>
      <c r="C2" t="s">
        <v>16</v>
      </c>
      <c r="D2" t="s">
        <v>554</v>
      </c>
      <c r="E2" s="11">
        <v>307.956346322863</v>
      </c>
      <c r="F2" t="s">
        <v>570</v>
      </c>
      <c r="G2"/>
    </row>
    <row r="3" spans="1:23" x14ac:dyDescent="0.25">
      <c r="A3" t="s">
        <v>564</v>
      </c>
      <c r="B3" t="s">
        <v>57</v>
      </c>
      <c r="C3" t="s">
        <v>537</v>
      </c>
      <c r="D3" t="s">
        <v>554</v>
      </c>
      <c r="E3" s="11">
        <v>980</v>
      </c>
      <c r="F3" t="s">
        <v>570</v>
      </c>
    </row>
    <row r="4" spans="1:23" x14ac:dyDescent="0.25">
      <c r="A4" t="s">
        <v>564</v>
      </c>
      <c r="B4" t="s">
        <v>57</v>
      </c>
      <c r="C4" t="s">
        <v>568</v>
      </c>
      <c r="D4" t="s">
        <v>554</v>
      </c>
      <c r="E4" s="11">
        <v>1.714522E-3</v>
      </c>
      <c r="F4" t="s">
        <v>570</v>
      </c>
      <c r="R4" s="45"/>
      <c r="S4" s="45"/>
      <c r="T4" s="45"/>
      <c r="U4" s="159" t="s">
        <v>595</v>
      </c>
      <c r="V4" s="158" t="s">
        <v>571</v>
      </c>
      <c r="W4" s="158" t="s">
        <v>572</v>
      </c>
    </row>
    <row r="5" spans="1:23" ht="18" x14ac:dyDescent="0.35">
      <c r="A5" t="s">
        <v>639</v>
      </c>
      <c r="B5" t="s">
        <v>57</v>
      </c>
      <c r="C5" t="s">
        <v>568</v>
      </c>
      <c r="D5" t="s">
        <v>637</v>
      </c>
      <c r="E5" s="11">
        <v>77.16219493375074</v>
      </c>
      <c r="R5" s="39" t="s">
        <v>123</v>
      </c>
      <c r="S5" s="39" t="s">
        <v>573</v>
      </c>
      <c r="T5" s="39" t="s">
        <v>124</v>
      </c>
      <c r="U5" s="160" t="s">
        <v>125</v>
      </c>
      <c r="V5" s="160" t="s">
        <v>125</v>
      </c>
      <c r="W5" s="160" t="s">
        <v>125</v>
      </c>
    </row>
    <row r="6" spans="1:23" x14ac:dyDescent="0.25">
      <c r="A6" t="s">
        <v>117</v>
      </c>
      <c r="B6" t="s">
        <v>57</v>
      </c>
      <c r="C6" t="s">
        <v>568</v>
      </c>
      <c r="D6" t="s">
        <v>637</v>
      </c>
      <c r="E6" s="11">
        <v>99.208536343393803</v>
      </c>
      <c r="R6" s="411" t="s">
        <v>574</v>
      </c>
      <c r="S6" s="40" t="s">
        <v>575</v>
      </c>
      <c r="T6" s="40" t="s">
        <v>131</v>
      </c>
      <c r="U6" s="159">
        <v>21.073100775193797</v>
      </c>
      <c r="V6" s="159">
        <v>21.073100775193797</v>
      </c>
      <c r="W6" s="159">
        <v>1164.0996345440185</v>
      </c>
    </row>
    <row r="7" spans="1:23" x14ac:dyDescent="0.25">
      <c r="A7" t="s">
        <v>587</v>
      </c>
      <c r="B7" t="s">
        <v>57</v>
      </c>
      <c r="C7" t="s">
        <v>568</v>
      </c>
      <c r="D7" t="s">
        <v>637</v>
      </c>
      <c r="E7" s="11">
        <v>253.53292621089528</v>
      </c>
      <c r="R7" s="411"/>
      <c r="S7" s="40" t="s">
        <v>576</v>
      </c>
      <c r="T7" s="40" t="s">
        <v>131</v>
      </c>
      <c r="U7" s="159">
        <v>21.280807236876331</v>
      </c>
      <c r="V7" s="159">
        <v>21.280807236876331</v>
      </c>
      <c r="W7" s="159">
        <v>8.8841301316268648</v>
      </c>
    </row>
    <row r="8" spans="1:23" x14ac:dyDescent="0.25">
      <c r="A8" t="s">
        <v>640</v>
      </c>
      <c r="B8" t="s">
        <v>57</v>
      </c>
      <c r="C8" t="s">
        <v>568</v>
      </c>
      <c r="D8" t="s">
        <v>637</v>
      </c>
      <c r="E8" s="11">
        <v>110.23170704821534</v>
      </c>
      <c r="R8" s="411"/>
      <c r="S8" s="40" t="s">
        <v>577</v>
      </c>
      <c r="T8" s="40" t="s">
        <v>131</v>
      </c>
      <c r="U8" s="159">
        <v>21.280807236876331</v>
      </c>
      <c r="V8" s="159">
        <v>21.280807236876331</v>
      </c>
      <c r="W8" s="159">
        <v>496.68330591452838</v>
      </c>
    </row>
    <row r="9" spans="1:23" x14ac:dyDescent="0.25">
      <c r="A9" t="s">
        <v>641</v>
      </c>
      <c r="B9" t="s">
        <v>57</v>
      </c>
      <c r="C9" t="s">
        <v>568</v>
      </c>
      <c r="D9" t="s">
        <v>637</v>
      </c>
      <c r="E9" s="11">
        <v>250</v>
      </c>
      <c r="R9" s="78" t="s">
        <v>593</v>
      </c>
      <c r="S9" s="40" t="s">
        <v>594</v>
      </c>
      <c r="T9" s="40" t="s">
        <v>131</v>
      </c>
      <c r="U9" s="161">
        <v>21.280807236876331</v>
      </c>
      <c r="V9" s="161">
        <v>21.280807236876331</v>
      </c>
      <c r="W9" s="161">
        <v>1164.390423590374</v>
      </c>
    </row>
    <row r="10" spans="1:23" x14ac:dyDescent="0.25">
      <c r="A10" t="s">
        <v>642</v>
      </c>
      <c r="B10" t="s">
        <v>57</v>
      </c>
      <c r="C10" t="s">
        <v>568</v>
      </c>
      <c r="D10" t="s">
        <v>637</v>
      </c>
      <c r="E10" s="11">
        <v>352.74146255428911</v>
      </c>
      <c r="R10" s="45"/>
      <c r="S10" s="45"/>
      <c r="T10" s="45"/>
      <c r="U10" s="162"/>
      <c r="V10" s="162"/>
      <c r="W10" s="162"/>
    </row>
    <row r="11" spans="1:23" x14ac:dyDescent="0.25">
      <c r="A11" t="s">
        <v>643</v>
      </c>
      <c r="B11" t="s">
        <v>57</v>
      </c>
      <c r="C11" t="s">
        <v>568</v>
      </c>
      <c r="D11" t="s">
        <v>637</v>
      </c>
      <c r="E11" s="11">
        <v>242.50975550607376</v>
      </c>
      <c r="R11" s="45"/>
    </row>
    <row r="12" spans="1:23" ht="18" x14ac:dyDescent="0.35">
      <c r="A12" t="s">
        <v>644</v>
      </c>
      <c r="B12" t="s">
        <v>57</v>
      </c>
      <c r="C12" t="s">
        <v>568</v>
      </c>
      <c r="D12" t="s">
        <v>637</v>
      </c>
      <c r="E12" s="11">
        <v>55.115853524107671</v>
      </c>
      <c r="R12" s="39" t="s">
        <v>123</v>
      </c>
      <c r="S12" s="39" t="s">
        <v>573</v>
      </c>
      <c r="T12" s="39" t="s">
        <v>124</v>
      </c>
      <c r="U12" s="160" t="s">
        <v>125</v>
      </c>
      <c r="V12" s="160" t="s">
        <v>125</v>
      </c>
      <c r="W12" s="160" t="s">
        <v>125</v>
      </c>
    </row>
    <row r="13" spans="1:23" x14ac:dyDescent="0.25">
      <c r="A13" t="s">
        <v>639</v>
      </c>
      <c r="B13" t="s">
        <v>57</v>
      </c>
      <c r="C13" t="s">
        <v>537</v>
      </c>
      <c r="D13" t="s">
        <v>637</v>
      </c>
      <c r="E13" s="11">
        <v>1047.2012169580457</v>
      </c>
      <c r="R13" s="411" t="s">
        <v>578</v>
      </c>
      <c r="S13" s="40" t="s">
        <v>579</v>
      </c>
      <c r="T13" s="40" t="s">
        <v>131</v>
      </c>
      <c r="U13" s="159"/>
      <c r="V13" s="161">
        <v>21.280807236876331</v>
      </c>
      <c r="W13" s="159">
        <v>497.04470652803235</v>
      </c>
    </row>
    <row r="14" spans="1:23" x14ac:dyDescent="0.25">
      <c r="A14" t="s">
        <v>117</v>
      </c>
      <c r="B14" t="s">
        <v>57</v>
      </c>
      <c r="C14" t="s">
        <v>537</v>
      </c>
      <c r="D14" t="s">
        <v>637</v>
      </c>
      <c r="E14" s="11">
        <v>88.185365638572279</v>
      </c>
      <c r="R14" s="411"/>
      <c r="S14" s="40" t="s">
        <v>580</v>
      </c>
      <c r="T14" s="40" t="s">
        <v>131</v>
      </c>
      <c r="U14" s="159"/>
      <c r="V14" s="161">
        <v>21.280807236876331</v>
      </c>
      <c r="W14" s="159">
        <v>700.20988175342768</v>
      </c>
    </row>
    <row r="15" spans="1:23" x14ac:dyDescent="0.25">
      <c r="A15" t="s">
        <v>587</v>
      </c>
      <c r="B15" t="s">
        <v>57</v>
      </c>
      <c r="C15" t="s">
        <v>537</v>
      </c>
      <c r="D15" t="s">
        <v>637</v>
      </c>
      <c r="E15" s="11">
        <v>22.04634140964307</v>
      </c>
      <c r="R15" s="411"/>
      <c r="S15" s="40" t="s">
        <v>581</v>
      </c>
      <c r="T15" s="40" t="s">
        <v>131</v>
      </c>
      <c r="U15" s="159"/>
      <c r="V15" s="161">
        <v>21.280807236876331</v>
      </c>
      <c r="W15" s="159">
        <v>646.60659082531515</v>
      </c>
    </row>
    <row r="16" spans="1:23" x14ac:dyDescent="0.25">
      <c r="A16" t="s">
        <v>640</v>
      </c>
      <c r="B16" t="s">
        <v>57</v>
      </c>
      <c r="C16" t="s">
        <v>537</v>
      </c>
      <c r="D16" t="s">
        <v>637</v>
      </c>
      <c r="E16" s="11">
        <v>22.04634140964307</v>
      </c>
      <c r="R16" s="411"/>
      <c r="S16" s="40" t="s">
        <v>582</v>
      </c>
      <c r="T16" s="40" t="s">
        <v>131</v>
      </c>
      <c r="U16" s="159"/>
      <c r="V16" s="161">
        <v>21.280807236876331</v>
      </c>
      <c r="W16" s="159">
        <v>655.98716673773481</v>
      </c>
    </row>
    <row r="17" spans="1:23" x14ac:dyDescent="0.25">
      <c r="A17" t="s">
        <v>642</v>
      </c>
      <c r="B17" t="s">
        <v>57</v>
      </c>
      <c r="C17" t="s">
        <v>537</v>
      </c>
      <c r="D17" t="s">
        <v>637</v>
      </c>
      <c r="E17" s="11">
        <v>22.04634140964307</v>
      </c>
      <c r="R17" s="411"/>
      <c r="S17" s="40" t="s">
        <v>583</v>
      </c>
      <c r="T17" s="40" t="s">
        <v>131</v>
      </c>
      <c r="U17" s="159"/>
      <c r="V17" s="161">
        <v>21.280807236876331</v>
      </c>
      <c r="W17" s="159">
        <v>520.33474346299533</v>
      </c>
    </row>
    <row r="18" spans="1:23" x14ac:dyDescent="0.25">
      <c r="A18" t="s">
        <v>643</v>
      </c>
      <c r="B18" t="s">
        <v>57</v>
      </c>
      <c r="C18" t="s">
        <v>537</v>
      </c>
      <c r="D18" t="s">
        <v>637</v>
      </c>
      <c r="E18" s="11">
        <v>22.04634140964307</v>
      </c>
      <c r="R18" s="45"/>
      <c r="S18" s="45"/>
      <c r="T18" s="45"/>
      <c r="U18" s="162"/>
      <c r="V18" s="162"/>
      <c r="W18" s="162"/>
    </row>
    <row r="19" spans="1:23" x14ac:dyDescent="0.25">
      <c r="A19" t="s">
        <v>644</v>
      </c>
      <c r="B19" t="s">
        <v>57</v>
      </c>
      <c r="C19" t="s">
        <v>537</v>
      </c>
      <c r="D19" t="s">
        <v>637</v>
      </c>
      <c r="E19" s="11">
        <v>22.04634140964307</v>
      </c>
      <c r="R19" s="45"/>
    </row>
    <row r="20" spans="1:23" ht="18" x14ac:dyDescent="0.35">
      <c r="A20" t="s">
        <v>645</v>
      </c>
      <c r="B20" t="s">
        <v>57</v>
      </c>
      <c r="C20" t="s">
        <v>537</v>
      </c>
      <c r="D20" t="s">
        <v>637</v>
      </c>
      <c r="E20" s="11">
        <v>749.57560792786433</v>
      </c>
      <c r="R20" s="39" t="s">
        <v>123</v>
      </c>
      <c r="S20" s="39" t="s">
        <v>573</v>
      </c>
      <c r="T20" s="39" t="s">
        <v>124</v>
      </c>
      <c r="U20" s="160" t="s">
        <v>125</v>
      </c>
      <c r="V20" s="160" t="s">
        <v>125</v>
      </c>
      <c r="W20" s="160" t="s">
        <v>125</v>
      </c>
    </row>
    <row r="21" spans="1:23" x14ac:dyDescent="0.25">
      <c r="A21" t="s">
        <v>646</v>
      </c>
      <c r="B21" t="s">
        <v>57</v>
      </c>
      <c r="C21" t="s">
        <v>537</v>
      </c>
      <c r="D21" t="s">
        <v>637</v>
      </c>
      <c r="E21" s="11">
        <v>22.04634140964307</v>
      </c>
      <c r="R21" s="420" t="s">
        <v>584</v>
      </c>
      <c r="S21" s="40" t="s">
        <v>585</v>
      </c>
      <c r="T21" s="40" t="s">
        <v>131</v>
      </c>
      <c r="U21" s="161">
        <v>21.280807236876331</v>
      </c>
      <c r="V21" s="161">
        <v>21.280807236876331</v>
      </c>
      <c r="W21" s="161">
        <v>8.8841301316268648</v>
      </c>
    </row>
    <row r="22" spans="1:23" x14ac:dyDescent="0.25">
      <c r="A22" t="s">
        <v>639</v>
      </c>
      <c r="B22" t="s">
        <v>57</v>
      </c>
      <c r="C22" t="s">
        <v>638</v>
      </c>
      <c r="D22" t="s">
        <v>637</v>
      </c>
      <c r="E22" s="11">
        <v>55.115853524107671</v>
      </c>
      <c r="R22" s="422"/>
      <c r="S22" s="40" t="s">
        <v>586</v>
      </c>
      <c r="T22" s="40" t="s">
        <v>131</v>
      </c>
      <c r="U22" s="161">
        <v>21.280807236876331</v>
      </c>
      <c r="V22" s="161"/>
      <c r="W22" s="161">
        <v>8.8841301316268648</v>
      </c>
    </row>
    <row r="23" spans="1:23" x14ac:dyDescent="0.25">
      <c r="A23" t="s">
        <v>117</v>
      </c>
      <c r="B23" t="s">
        <v>57</v>
      </c>
      <c r="C23" t="s">
        <v>638</v>
      </c>
      <c r="D23" t="s">
        <v>637</v>
      </c>
      <c r="E23" s="11">
        <v>55.115853524107671</v>
      </c>
    </row>
    <row r="24" spans="1:23" x14ac:dyDescent="0.25">
      <c r="A24" t="s">
        <v>587</v>
      </c>
      <c r="B24" t="s">
        <v>57</v>
      </c>
      <c r="C24" t="s">
        <v>638</v>
      </c>
      <c r="D24" t="s">
        <v>637</v>
      </c>
      <c r="E24" s="11">
        <v>11.023170704821535</v>
      </c>
    </row>
    <row r="25" spans="1:23" ht="18" x14ac:dyDescent="0.35">
      <c r="A25" t="s">
        <v>640</v>
      </c>
      <c r="B25" t="s">
        <v>57</v>
      </c>
      <c r="C25" t="s">
        <v>638</v>
      </c>
      <c r="D25" t="s">
        <v>637</v>
      </c>
      <c r="E25" s="11">
        <v>2436.1207257655592</v>
      </c>
      <c r="R25" s="39" t="s">
        <v>123</v>
      </c>
      <c r="S25" s="39" t="s">
        <v>573</v>
      </c>
      <c r="T25" s="39" t="s">
        <v>124</v>
      </c>
      <c r="U25" s="160" t="s">
        <v>125</v>
      </c>
      <c r="V25" s="160" t="s">
        <v>125</v>
      </c>
      <c r="W25" s="160" t="s">
        <v>125</v>
      </c>
    </row>
    <row r="26" spans="1:23" x14ac:dyDescent="0.25">
      <c r="A26" t="s">
        <v>642</v>
      </c>
      <c r="B26" t="s">
        <v>57</v>
      </c>
      <c r="C26" t="s">
        <v>638</v>
      </c>
      <c r="D26" t="s">
        <v>637</v>
      </c>
      <c r="E26" s="11">
        <v>11.023170704821535</v>
      </c>
      <c r="R26" s="420" t="s">
        <v>587</v>
      </c>
      <c r="S26" s="40" t="s">
        <v>588</v>
      </c>
      <c r="T26" s="40" t="s">
        <v>131</v>
      </c>
      <c r="U26" s="161">
        <v>21.280807236876331</v>
      </c>
      <c r="V26" s="161">
        <v>21.280807236876331</v>
      </c>
      <c r="W26" s="161">
        <v>8.8841301316268648</v>
      </c>
    </row>
    <row r="27" spans="1:23" x14ac:dyDescent="0.25">
      <c r="A27" t="s">
        <v>643</v>
      </c>
      <c r="B27" t="s">
        <v>57</v>
      </c>
      <c r="C27" t="s">
        <v>638</v>
      </c>
      <c r="D27" t="s">
        <v>637</v>
      </c>
      <c r="E27" s="11">
        <v>2579.4219449282386</v>
      </c>
      <c r="R27" s="421"/>
      <c r="S27" s="40" t="s">
        <v>589</v>
      </c>
      <c r="T27" s="40" t="s">
        <v>131</v>
      </c>
      <c r="U27" s="161">
        <v>21.280807236876331</v>
      </c>
      <c r="V27" s="161">
        <v>21.280807236876331</v>
      </c>
      <c r="W27" s="161">
        <v>8.8841301316268648</v>
      </c>
    </row>
    <row r="28" spans="1:23" x14ac:dyDescent="0.25">
      <c r="A28" t="s">
        <v>644</v>
      </c>
      <c r="B28" t="s">
        <v>57</v>
      </c>
      <c r="C28" t="s">
        <v>638</v>
      </c>
      <c r="D28" t="s">
        <v>637</v>
      </c>
      <c r="E28" s="11">
        <v>11.023170704821535</v>
      </c>
      <c r="R28" s="422"/>
      <c r="S28" s="40" t="s">
        <v>590</v>
      </c>
      <c r="T28" s="40" t="s">
        <v>131</v>
      </c>
      <c r="U28" s="161">
        <v>21.280807236876331</v>
      </c>
      <c r="V28" s="161">
        <v>21.280807236876331</v>
      </c>
      <c r="W28" s="161">
        <v>8.8841301316268648</v>
      </c>
    </row>
    <row r="29" spans="1:23" x14ac:dyDescent="0.25">
      <c r="A29" t="s">
        <v>645</v>
      </c>
      <c r="B29" t="s">
        <v>57</v>
      </c>
      <c r="C29" t="s">
        <v>638</v>
      </c>
      <c r="D29" t="s">
        <v>637</v>
      </c>
      <c r="E29" s="11">
        <v>55.115853524107671</v>
      </c>
    </row>
    <row r="30" spans="1:23" ht="18" x14ac:dyDescent="0.35">
      <c r="A30" t="s">
        <v>646</v>
      </c>
      <c r="B30" t="s">
        <v>57</v>
      </c>
      <c r="C30" t="s">
        <v>638</v>
      </c>
      <c r="D30" t="s">
        <v>637</v>
      </c>
      <c r="E30" s="11">
        <v>981.06219272911653</v>
      </c>
      <c r="R30" s="39" t="s">
        <v>123</v>
      </c>
      <c r="S30" s="39" t="s">
        <v>573</v>
      </c>
      <c r="T30" s="39" t="s">
        <v>124</v>
      </c>
      <c r="U30" s="160" t="s">
        <v>125</v>
      </c>
      <c r="V30" s="160" t="s">
        <v>125</v>
      </c>
      <c r="W30" s="160" t="s">
        <v>125</v>
      </c>
    </row>
    <row r="31" spans="1:23" x14ac:dyDescent="0.25">
      <c r="A31" t="s">
        <v>639</v>
      </c>
      <c r="B31" t="s">
        <v>57</v>
      </c>
      <c r="C31" t="s">
        <v>568</v>
      </c>
      <c r="D31" t="s">
        <v>428</v>
      </c>
      <c r="E31" s="11">
        <v>21.280807236876331</v>
      </c>
      <c r="R31" s="78" t="s">
        <v>591</v>
      </c>
      <c r="S31" s="40" t="s">
        <v>592</v>
      </c>
      <c r="T31" s="40" t="s">
        <v>131</v>
      </c>
      <c r="U31" s="161">
        <v>21.280807236876331</v>
      </c>
      <c r="V31" s="161">
        <v>21.280807236876331</v>
      </c>
      <c r="W31" s="161">
        <v>8.8841301316268648</v>
      </c>
    </row>
    <row r="32" spans="1:23" x14ac:dyDescent="0.25">
      <c r="A32" t="s">
        <v>639</v>
      </c>
      <c r="B32" t="s">
        <v>57</v>
      </c>
      <c r="C32" t="s">
        <v>537</v>
      </c>
      <c r="D32" t="s">
        <v>428</v>
      </c>
      <c r="E32" s="11">
        <v>1164.390423590374</v>
      </c>
      <c r="U32" s="10"/>
      <c r="V32" s="10"/>
    </row>
    <row r="33" spans="1:25" ht="18" x14ac:dyDescent="0.35">
      <c r="A33" t="s">
        <v>639</v>
      </c>
      <c r="B33" t="s">
        <v>57</v>
      </c>
      <c r="C33" t="s">
        <v>638</v>
      </c>
      <c r="D33" t="s">
        <v>428</v>
      </c>
      <c r="E33" s="11">
        <v>21.280807236876331</v>
      </c>
      <c r="R33" s="39" t="s">
        <v>123</v>
      </c>
      <c r="S33" s="39" t="s">
        <v>573</v>
      </c>
      <c r="T33" s="39" t="s">
        <v>124</v>
      </c>
      <c r="U33" s="160" t="s">
        <v>125</v>
      </c>
      <c r="V33" s="160" t="s">
        <v>125</v>
      </c>
      <c r="W33" s="160" t="s">
        <v>125</v>
      </c>
    </row>
    <row r="34" spans="1:25" x14ac:dyDescent="0.25">
      <c r="A34" t="s">
        <v>644</v>
      </c>
      <c r="B34" t="s">
        <v>57</v>
      </c>
      <c r="C34" t="s">
        <v>568</v>
      </c>
      <c r="D34" t="s">
        <v>428</v>
      </c>
      <c r="E34" s="11">
        <v>21.280807236876331</v>
      </c>
      <c r="R34" s="420" t="s">
        <v>597</v>
      </c>
      <c r="S34" s="40" t="s">
        <v>596</v>
      </c>
      <c r="T34" s="40" t="s">
        <v>131</v>
      </c>
      <c r="U34" s="161">
        <v>21.280807236876331</v>
      </c>
      <c r="V34" s="161">
        <v>21.280807236876331</v>
      </c>
      <c r="W34" s="159">
        <v>925.24450083024101</v>
      </c>
    </row>
    <row r="35" spans="1:25" x14ac:dyDescent="0.25">
      <c r="A35" t="s">
        <v>644</v>
      </c>
      <c r="B35" t="s">
        <v>57</v>
      </c>
      <c r="C35" t="s">
        <v>537</v>
      </c>
      <c r="D35" t="s">
        <v>428</v>
      </c>
      <c r="E35" s="11">
        <v>8.8841301316268648</v>
      </c>
      <c r="R35" s="421"/>
      <c r="S35" s="40" t="s">
        <v>598</v>
      </c>
      <c r="T35" s="40" t="s">
        <v>131</v>
      </c>
      <c r="U35" s="161">
        <v>0.98491172324161069</v>
      </c>
      <c r="V35" s="161"/>
      <c r="W35" s="159">
        <v>1.2643491</v>
      </c>
    </row>
    <row r="36" spans="1:25" x14ac:dyDescent="0.25">
      <c r="A36" t="s">
        <v>644</v>
      </c>
      <c r="B36" t="s">
        <v>57</v>
      </c>
      <c r="C36" t="s">
        <v>638</v>
      </c>
      <c r="D36" t="s">
        <v>428</v>
      </c>
      <c r="E36" s="11">
        <v>21.280807236876331</v>
      </c>
      <c r="R36" s="422"/>
      <c r="S36" s="40" t="s">
        <v>599</v>
      </c>
      <c r="T36" s="40" t="s">
        <v>131</v>
      </c>
      <c r="U36" s="161">
        <v>21.280807236876331</v>
      </c>
      <c r="V36" s="161">
        <v>21.280807236876331</v>
      </c>
      <c r="W36" s="161"/>
    </row>
    <row r="37" spans="1:25" x14ac:dyDescent="0.25">
      <c r="A37" t="s">
        <v>645</v>
      </c>
      <c r="B37" t="s">
        <v>57</v>
      </c>
      <c r="C37" t="s">
        <v>537</v>
      </c>
      <c r="D37" t="s">
        <v>428</v>
      </c>
      <c r="E37" s="11">
        <v>520.33474346299533</v>
      </c>
    </row>
    <row r="38" spans="1:25" x14ac:dyDescent="0.25">
      <c r="A38" t="s">
        <v>645</v>
      </c>
      <c r="B38" t="s">
        <v>57</v>
      </c>
      <c r="C38" t="s">
        <v>638</v>
      </c>
      <c r="D38" t="s">
        <v>428</v>
      </c>
      <c r="E38" s="11">
        <v>21.280807236876331</v>
      </c>
    </row>
    <row r="39" spans="1:25" x14ac:dyDescent="0.25">
      <c r="A39" t="s">
        <v>646</v>
      </c>
      <c r="B39" t="s">
        <v>57</v>
      </c>
      <c r="C39" t="s">
        <v>568</v>
      </c>
      <c r="D39" t="s">
        <v>428</v>
      </c>
      <c r="E39" s="11">
        <v>21.280807236876331</v>
      </c>
    </row>
    <row r="40" spans="1:25" x14ac:dyDescent="0.25">
      <c r="A40" t="s">
        <v>646</v>
      </c>
      <c r="B40" t="s">
        <v>57</v>
      </c>
      <c r="C40" t="s">
        <v>537</v>
      </c>
      <c r="D40" t="s">
        <v>428</v>
      </c>
      <c r="E40" s="11">
        <v>8.8841301316268648</v>
      </c>
    </row>
    <row r="41" spans="1:25" x14ac:dyDescent="0.25">
      <c r="A41" t="s">
        <v>646</v>
      </c>
      <c r="B41" t="s">
        <v>57</v>
      </c>
      <c r="C41" t="s">
        <v>638</v>
      </c>
      <c r="D41" t="s">
        <v>428</v>
      </c>
      <c r="E41" s="11">
        <v>21.280807236876331</v>
      </c>
    </row>
    <row r="42" spans="1:25" x14ac:dyDescent="0.25">
      <c r="A42" t="s">
        <v>587</v>
      </c>
      <c r="B42" t="s">
        <v>57</v>
      </c>
      <c r="C42" t="s">
        <v>568</v>
      </c>
      <c r="D42" t="s">
        <v>428</v>
      </c>
      <c r="E42" s="11">
        <v>21.280807236876331</v>
      </c>
      <c r="R42" t="s">
        <v>550</v>
      </c>
      <c r="S42" s="10"/>
      <c r="T42" s="10"/>
    </row>
    <row r="43" spans="1:25" x14ac:dyDescent="0.25">
      <c r="A43" t="s">
        <v>587</v>
      </c>
      <c r="B43" t="s">
        <v>57</v>
      </c>
      <c r="C43" t="s">
        <v>537</v>
      </c>
      <c r="D43" t="s">
        <v>428</v>
      </c>
      <c r="E43" s="11">
        <v>8.8841301316268648</v>
      </c>
      <c r="S43" s="10"/>
      <c r="T43" s="10"/>
    </row>
    <row r="44" spans="1:25" x14ac:dyDescent="0.25">
      <c r="A44" t="s">
        <v>587</v>
      </c>
      <c r="B44" t="s">
        <v>57</v>
      </c>
      <c r="C44" t="s">
        <v>638</v>
      </c>
      <c r="D44" t="s">
        <v>428</v>
      </c>
      <c r="E44" s="11">
        <v>21.280807236876331</v>
      </c>
      <c r="S44" s="10"/>
      <c r="T44" s="10"/>
    </row>
    <row r="45" spans="1:25" x14ac:dyDescent="0.25">
      <c r="A45" t="s">
        <v>543</v>
      </c>
      <c r="B45" t="s">
        <v>57</v>
      </c>
      <c r="C45" t="s">
        <v>568</v>
      </c>
      <c r="D45" t="s">
        <v>428</v>
      </c>
      <c r="E45" s="11">
        <v>21.280807236876331</v>
      </c>
      <c r="S45" s="10"/>
      <c r="T45" s="10"/>
    </row>
    <row r="46" spans="1:25" x14ac:dyDescent="0.25">
      <c r="A46" t="s">
        <v>543</v>
      </c>
      <c r="B46" t="s">
        <v>57</v>
      </c>
      <c r="C46" t="s">
        <v>537</v>
      </c>
      <c r="D46" t="s">
        <v>428</v>
      </c>
      <c r="E46" s="11">
        <v>8.8841301316268648</v>
      </c>
      <c r="S46" s="10"/>
      <c r="T46" s="10" t="s">
        <v>533</v>
      </c>
    </row>
    <row r="47" spans="1:25" x14ac:dyDescent="0.25">
      <c r="A47" t="s">
        <v>642</v>
      </c>
      <c r="B47" t="s">
        <v>57</v>
      </c>
      <c r="C47" t="s">
        <v>568</v>
      </c>
      <c r="D47" t="s">
        <v>428</v>
      </c>
      <c r="E47" s="11">
        <v>21.280807236876331</v>
      </c>
      <c r="R47" t="s">
        <v>530</v>
      </c>
      <c r="S47" s="10"/>
      <c r="T47" s="10">
        <v>386</v>
      </c>
      <c r="V47" s="144"/>
      <c r="Y47" s="71"/>
    </row>
    <row r="48" spans="1:25" x14ac:dyDescent="0.25">
      <c r="A48" t="s">
        <v>642</v>
      </c>
      <c r="B48" t="s">
        <v>57</v>
      </c>
      <c r="C48" t="s">
        <v>537</v>
      </c>
      <c r="D48" t="s">
        <v>428</v>
      </c>
      <c r="E48" s="11">
        <v>8.8841301316268648</v>
      </c>
      <c r="R48" t="s">
        <v>529</v>
      </c>
      <c r="S48" s="10"/>
      <c r="T48" s="10">
        <v>5</v>
      </c>
      <c r="V48" s="144"/>
      <c r="Y48" s="71"/>
    </row>
    <row r="49" spans="1:29" x14ac:dyDescent="0.25">
      <c r="A49" t="s">
        <v>642</v>
      </c>
      <c r="B49" t="s">
        <v>57</v>
      </c>
      <c r="C49" t="s">
        <v>638</v>
      </c>
      <c r="D49" t="s">
        <v>428</v>
      </c>
      <c r="E49" s="11">
        <v>21.280807236876331</v>
      </c>
      <c r="R49" t="s">
        <v>527</v>
      </c>
      <c r="S49" s="10"/>
      <c r="T49" s="10">
        <v>0</v>
      </c>
      <c r="Y49" s="71"/>
    </row>
    <row r="50" spans="1:29" x14ac:dyDescent="0.25">
      <c r="A50" t="s">
        <v>643</v>
      </c>
      <c r="B50" t="s">
        <v>57</v>
      </c>
      <c r="C50" t="s">
        <v>568</v>
      </c>
      <c r="D50" t="s">
        <v>428</v>
      </c>
      <c r="E50" s="11">
        <v>21.280807236876331</v>
      </c>
      <c r="R50" t="s">
        <v>528</v>
      </c>
      <c r="S50" s="10"/>
      <c r="T50" s="10">
        <v>0</v>
      </c>
      <c r="V50" s="144"/>
      <c r="Y50" s="71"/>
    </row>
    <row r="51" spans="1:29" x14ac:dyDescent="0.25">
      <c r="A51" t="s">
        <v>643</v>
      </c>
      <c r="B51" t="s">
        <v>57</v>
      </c>
      <c r="C51" t="s">
        <v>537</v>
      </c>
      <c r="D51" t="s">
        <v>428</v>
      </c>
      <c r="E51" s="11">
        <v>8.8841301316268648</v>
      </c>
      <c r="R51" t="s">
        <v>531</v>
      </c>
      <c r="S51" s="10"/>
      <c r="T51" s="10">
        <v>89</v>
      </c>
      <c r="V51" s="144"/>
      <c r="W51">
        <f>T54+T55</f>
        <v>289002</v>
      </c>
      <c r="Y51" s="71"/>
      <c r="Z51">
        <f>T51/W51*1000</f>
        <v>0.30795634632286284</v>
      </c>
    </row>
    <row r="52" spans="1:29" x14ac:dyDescent="0.25">
      <c r="A52" t="s">
        <v>643</v>
      </c>
      <c r="B52" t="s">
        <v>57</v>
      </c>
      <c r="C52" t="s">
        <v>638</v>
      </c>
      <c r="D52" t="s">
        <v>428</v>
      </c>
      <c r="E52" s="11">
        <v>21.280807236876331</v>
      </c>
      <c r="S52" s="10"/>
      <c r="T52" s="10"/>
    </row>
    <row r="53" spans="1:29" ht="15.75" thickBot="1" x14ac:dyDescent="0.3">
      <c r="A53" t="s">
        <v>117</v>
      </c>
      <c r="B53" t="s">
        <v>57</v>
      </c>
      <c r="C53" t="s">
        <v>568</v>
      </c>
      <c r="D53" t="s">
        <v>428</v>
      </c>
      <c r="E53" s="11">
        <v>21.280807236876331</v>
      </c>
      <c r="S53" s="10"/>
      <c r="T53" s="10"/>
    </row>
    <row r="54" spans="1:29" ht="15.75" thickBot="1" x14ac:dyDescent="0.3">
      <c r="A54" t="s">
        <v>117</v>
      </c>
      <c r="B54" t="s">
        <v>57</v>
      </c>
      <c r="C54" t="s">
        <v>537</v>
      </c>
      <c r="D54" t="s">
        <v>428</v>
      </c>
      <c r="E54" s="11">
        <v>925.24450083024101</v>
      </c>
      <c r="R54" s="145" t="s">
        <v>535</v>
      </c>
      <c r="S54" s="146" t="s">
        <v>536</v>
      </c>
      <c r="T54" s="147">
        <v>185183</v>
      </c>
      <c r="U54" s="146" t="s">
        <v>57</v>
      </c>
      <c r="V54" s="146" t="s">
        <v>537</v>
      </c>
      <c r="W54" s="156">
        <v>0.98</v>
      </c>
      <c r="X54">
        <f>W54*T54</f>
        <v>181479.34</v>
      </c>
      <c r="Y54" s="71">
        <f>X54/T54</f>
        <v>0.98</v>
      </c>
      <c r="AA54" t="s">
        <v>530</v>
      </c>
      <c r="AB54" t="s">
        <v>567</v>
      </c>
      <c r="AC54" s="155">
        <v>0.99</v>
      </c>
    </row>
    <row r="55" spans="1:29" ht="15.75" thickBot="1" x14ac:dyDescent="0.3">
      <c r="A55" t="s">
        <v>117</v>
      </c>
      <c r="B55" t="s">
        <v>57</v>
      </c>
      <c r="C55" t="s">
        <v>638</v>
      </c>
      <c r="D55" t="s">
        <v>428</v>
      </c>
      <c r="E55" s="11">
        <v>21.280807236876331</v>
      </c>
      <c r="R55" s="145" t="s">
        <v>535</v>
      </c>
      <c r="S55" s="147" t="s">
        <v>538</v>
      </c>
      <c r="T55" s="147">
        <v>103819</v>
      </c>
      <c r="U55" s="147" t="s">
        <v>57</v>
      </c>
      <c r="V55" s="147" t="s">
        <v>539</v>
      </c>
      <c r="W55" s="156">
        <v>0.02</v>
      </c>
      <c r="X55">
        <f>W55*T51</f>
        <v>1.78</v>
      </c>
      <c r="Y55">
        <f>X55/T55</f>
        <v>1.7145223899286257E-5</v>
      </c>
      <c r="AA55" t="s">
        <v>530</v>
      </c>
      <c r="AB55" t="s">
        <v>568</v>
      </c>
      <c r="AC55" s="155">
        <v>0.04</v>
      </c>
    </row>
    <row r="56" spans="1:29" x14ac:dyDescent="0.25">
      <c r="A56" t="s">
        <v>647</v>
      </c>
      <c r="B56" t="s">
        <v>57</v>
      </c>
      <c r="C56" t="s">
        <v>568</v>
      </c>
      <c r="D56" t="s">
        <v>428</v>
      </c>
      <c r="E56" s="11">
        <v>0.98491172324161069</v>
      </c>
      <c r="S56" s="10"/>
      <c r="T56" s="10"/>
    </row>
    <row r="57" spans="1:29" x14ac:dyDescent="0.25">
      <c r="A57" t="s">
        <v>647</v>
      </c>
      <c r="B57" t="s">
        <v>57</v>
      </c>
      <c r="C57" t="s">
        <v>638</v>
      </c>
      <c r="D57" t="s">
        <v>428</v>
      </c>
      <c r="E57" s="11">
        <v>1.2643491</v>
      </c>
      <c r="G57"/>
      <c r="H57"/>
      <c r="S57" s="10"/>
      <c r="T57" s="10"/>
    </row>
    <row r="58" spans="1:29" x14ac:dyDescent="0.25">
      <c r="A58" t="s">
        <v>648</v>
      </c>
      <c r="B58" t="s">
        <v>57</v>
      </c>
      <c r="C58" t="s">
        <v>568</v>
      </c>
      <c r="D58" t="s">
        <v>428</v>
      </c>
      <c r="E58" s="11">
        <v>21.280807236876331</v>
      </c>
      <c r="G58"/>
      <c r="H58"/>
      <c r="S58" s="10"/>
      <c r="T58" s="10"/>
    </row>
    <row r="59" spans="1:29" x14ac:dyDescent="0.25">
      <c r="A59" t="s">
        <v>648</v>
      </c>
      <c r="B59" t="s">
        <v>57</v>
      </c>
      <c r="C59" t="s">
        <v>638</v>
      </c>
      <c r="D59" t="s">
        <v>428</v>
      </c>
      <c r="E59" s="11">
        <v>21.280807236876331</v>
      </c>
      <c r="G59"/>
      <c r="H59"/>
      <c r="Q59" t="s">
        <v>551</v>
      </c>
      <c r="R59">
        <v>907.18</v>
      </c>
      <c r="S59" t="s">
        <v>57</v>
      </c>
      <c r="T59">
        <f>R60/R59</f>
        <v>1.1023170704821534</v>
      </c>
    </row>
    <row r="60" spans="1:29" x14ac:dyDescent="0.25">
      <c r="A60" t="s">
        <v>815</v>
      </c>
      <c r="B60" t="s">
        <v>57</v>
      </c>
      <c r="C60" t="s">
        <v>568</v>
      </c>
      <c r="D60" t="s">
        <v>554</v>
      </c>
      <c r="E60" s="11">
        <v>0</v>
      </c>
      <c r="G60"/>
      <c r="H60"/>
      <c r="Q60" t="s">
        <v>552</v>
      </c>
      <c r="R60">
        <v>1000</v>
      </c>
      <c r="S60" t="s">
        <v>57</v>
      </c>
    </row>
    <row r="61" spans="1:29" x14ac:dyDescent="0.25">
      <c r="G61"/>
      <c r="H61"/>
    </row>
    <row r="101" spans="21:22" x14ac:dyDescent="0.25">
      <c r="U101" s="10"/>
      <c r="V101" s="10"/>
    </row>
    <row r="102" spans="21:22" x14ac:dyDescent="0.25">
      <c r="U102" s="10"/>
      <c r="V102" s="10"/>
    </row>
    <row r="103" spans="21:22" x14ac:dyDescent="0.25">
      <c r="U103" s="10"/>
      <c r="V103" s="10"/>
    </row>
    <row r="104" spans="21:22" x14ac:dyDescent="0.25">
      <c r="U104" s="10"/>
      <c r="V104" s="10"/>
    </row>
    <row r="105" spans="21:22" x14ac:dyDescent="0.25">
      <c r="U105" s="10"/>
      <c r="V105" s="10"/>
    </row>
    <row r="106" spans="21:22" x14ac:dyDescent="0.25">
      <c r="U106" s="10"/>
      <c r="V106" s="10"/>
    </row>
    <row r="107" spans="21:22" x14ac:dyDescent="0.25">
      <c r="U107" s="10"/>
      <c r="V107" s="10"/>
    </row>
    <row r="108" spans="21:22" x14ac:dyDescent="0.25">
      <c r="U108" s="10"/>
      <c r="V108" s="10"/>
    </row>
    <row r="109" spans="21:22" x14ac:dyDescent="0.25">
      <c r="U109" s="10"/>
      <c r="V109" s="10"/>
    </row>
    <row r="110" spans="21:22" x14ac:dyDescent="0.25">
      <c r="U110" s="10"/>
      <c r="V110" s="10"/>
    </row>
    <row r="111" spans="21:22" x14ac:dyDescent="0.25">
      <c r="U111" s="10"/>
      <c r="V111" s="10"/>
    </row>
    <row r="112" spans="21:22" x14ac:dyDescent="0.25">
      <c r="U112" s="10"/>
      <c r="V112" s="10"/>
    </row>
    <row r="113" spans="21:22" x14ac:dyDescent="0.25">
      <c r="U113" s="10"/>
      <c r="V113" s="10"/>
    </row>
    <row r="114" spans="21:22" x14ac:dyDescent="0.25">
      <c r="U114" s="10"/>
      <c r="V114" s="10"/>
    </row>
    <row r="115" spans="21:22" x14ac:dyDescent="0.25">
      <c r="U115" s="10"/>
      <c r="V115" s="10"/>
    </row>
    <row r="116" spans="21:22" x14ac:dyDescent="0.25">
      <c r="U116" s="10"/>
      <c r="V116" s="10"/>
    </row>
    <row r="117" spans="21:22" x14ac:dyDescent="0.25">
      <c r="U117" s="10"/>
      <c r="V117" s="10"/>
    </row>
    <row r="118" spans="21:22" x14ac:dyDescent="0.25">
      <c r="U118" s="10"/>
      <c r="V118" s="10"/>
    </row>
    <row r="119" spans="21:22" x14ac:dyDescent="0.25">
      <c r="U119" s="10"/>
      <c r="V119" s="10"/>
    </row>
    <row r="120" spans="21:22" x14ac:dyDescent="0.25">
      <c r="U120" s="10"/>
      <c r="V120" s="10"/>
    </row>
    <row r="121" spans="21:22" x14ac:dyDescent="0.25">
      <c r="U121" s="10"/>
      <c r="V121" s="10"/>
    </row>
    <row r="122" spans="21:22" x14ac:dyDescent="0.25">
      <c r="U122" s="10"/>
      <c r="V122" s="10"/>
    </row>
    <row r="123" spans="21:22" x14ac:dyDescent="0.25">
      <c r="U123" s="10"/>
      <c r="V123" s="10"/>
    </row>
    <row r="124" spans="21:22" x14ac:dyDescent="0.25">
      <c r="U124" s="10"/>
      <c r="V124" s="10"/>
    </row>
  </sheetData>
  <mergeCells count="5">
    <mergeCell ref="R26:R28"/>
    <mergeCell ref="R34:R36"/>
    <mergeCell ref="R6:R8"/>
    <mergeCell ref="R13:R17"/>
    <mergeCell ref="R21:R22"/>
  </mergeCells>
  <conditionalFormatting sqref="U6:W9 U26:W28 U35:W35">
    <cfRule type="expression" dxfId="6" priority="7" stopIfTrue="1">
      <formula>U6=""</formula>
    </cfRule>
  </conditionalFormatting>
  <conditionalFormatting sqref="U13:W17">
    <cfRule type="expression" dxfId="5" priority="8" stopIfTrue="1">
      <formula>U13=""</formula>
    </cfRule>
  </conditionalFormatting>
  <conditionalFormatting sqref="U21:W22">
    <cfRule type="expression" dxfId="4" priority="9" stopIfTrue="1">
      <formula>U21=""</formula>
    </cfRule>
  </conditionalFormatting>
  <conditionalFormatting sqref="U31:W31">
    <cfRule type="expression" dxfId="3" priority="11" stopIfTrue="1">
      <formula>U31=""</formula>
    </cfRule>
  </conditionalFormatting>
  <conditionalFormatting sqref="U34:W34">
    <cfRule type="expression" dxfId="2" priority="6" stopIfTrue="1">
      <formula>U34=""</formula>
    </cfRule>
  </conditionalFormatting>
  <conditionalFormatting sqref="U36:V36">
    <cfRule type="expression" dxfId="1" priority="4" stopIfTrue="1">
      <formula>U36=""</formula>
    </cfRule>
  </conditionalFormatting>
  <conditionalFormatting sqref="W36">
    <cfRule type="expression" dxfId="0" priority="3" stopIfTrue="1">
      <formula>W36=""</formula>
    </cfRule>
  </conditionalFormatting>
  <pageMargins left="0.7" right="0.7" top="0.75" bottom="0.75" header="0.3" footer="0.3"/>
  <pageSetup paperSize="9" orientation="portrait" r:id="rId1"/>
  <customProperties>
    <customPr name="GUID" r:id="rId2"/>
  </customProperties>
  <drawing r:id="rId3"/>
  <legacy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4"/>
  <dimension ref="A1:F31"/>
  <sheetViews>
    <sheetView workbookViewId="0">
      <selection activeCell="B25" sqref="B25"/>
    </sheetView>
  </sheetViews>
  <sheetFormatPr defaultRowHeight="15" x14ac:dyDescent="0.25"/>
  <cols>
    <col min="1" max="1" width="49.42578125" style="10" customWidth="1"/>
    <col min="2" max="3" width="32.5703125" style="10" customWidth="1"/>
    <col min="4" max="4" width="47.5703125" style="10" bestFit="1" customWidth="1"/>
    <col min="5" max="6" width="32.5703125" style="10" customWidth="1"/>
  </cols>
  <sheetData>
    <row r="1" spans="1:6" x14ac:dyDescent="0.25">
      <c r="A1" s="10" t="s">
        <v>414</v>
      </c>
      <c r="B1" s="10" t="s">
        <v>495</v>
      </c>
      <c r="C1" s="10" t="s">
        <v>415</v>
      </c>
      <c r="D1" s="10" t="s">
        <v>416</v>
      </c>
      <c r="E1" s="10" t="s">
        <v>489</v>
      </c>
      <c r="F1" s="10" t="s">
        <v>496</v>
      </c>
    </row>
    <row r="2" spans="1:6" x14ac:dyDescent="0.25">
      <c r="A2" s="10" t="s">
        <v>779</v>
      </c>
      <c r="B2" s="10" t="s">
        <v>494</v>
      </c>
      <c r="C2" s="10" t="s">
        <v>428</v>
      </c>
      <c r="D2" s="10">
        <v>2023</v>
      </c>
      <c r="E2" s="10" t="s">
        <v>55</v>
      </c>
      <c r="F2" s="10">
        <v>0.20100000000000001</v>
      </c>
    </row>
    <row r="3" spans="1:6" x14ac:dyDescent="0.25">
      <c r="A3" s="202" t="s">
        <v>779</v>
      </c>
      <c r="B3" s="10" t="s">
        <v>494</v>
      </c>
      <c r="C3" s="10" t="s">
        <v>428</v>
      </c>
      <c r="D3" s="10">
        <v>2022</v>
      </c>
      <c r="E3" s="10" t="s">
        <v>55</v>
      </c>
      <c r="F3" s="10">
        <v>0.27200000000000002</v>
      </c>
    </row>
    <row r="4" spans="1:6" x14ac:dyDescent="0.25">
      <c r="A4" s="248"/>
      <c r="B4" s="248"/>
      <c r="F4" s="140"/>
    </row>
    <row r="5" spans="1:6" x14ac:dyDescent="0.25">
      <c r="A5" s="248"/>
      <c r="B5" s="248"/>
      <c r="C5" s="248"/>
      <c r="F5" s="140"/>
    </row>
    <row r="6" spans="1:6" x14ac:dyDescent="0.25">
      <c r="A6" s="248"/>
      <c r="B6" s="248"/>
    </row>
    <row r="9" spans="1:6" x14ac:dyDescent="0.25">
      <c r="A9" s="248"/>
      <c r="B9" s="248"/>
      <c r="C9" s="248"/>
      <c r="D9" s="248"/>
      <c r="E9" s="248"/>
    </row>
    <row r="10" spans="1:6" x14ac:dyDescent="0.25">
      <c r="A10" s="248"/>
      <c r="B10" s="248"/>
      <c r="C10" s="248"/>
      <c r="D10" s="248"/>
      <c r="E10" s="248"/>
    </row>
    <row r="11" spans="1:6" x14ac:dyDescent="0.25">
      <c r="A11" s="248"/>
      <c r="B11" s="248"/>
      <c r="C11" s="248"/>
      <c r="D11" s="248"/>
      <c r="E11" s="248"/>
    </row>
    <row r="13" spans="1:6" x14ac:dyDescent="0.25">
      <c r="A13" s="248"/>
      <c r="B13" s="248"/>
      <c r="C13" s="248"/>
      <c r="D13" s="248"/>
      <c r="E13" s="248"/>
    </row>
    <row r="14" spans="1:6" x14ac:dyDescent="0.25">
      <c r="A14" s="248"/>
      <c r="B14" s="248"/>
      <c r="C14" s="248"/>
      <c r="D14" s="248"/>
      <c r="E14" s="248"/>
    </row>
    <row r="15" spans="1:6" x14ac:dyDescent="0.25">
      <c r="A15" s="248"/>
      <c r="B15" s="248"/>
      <c r="C15" s="248"/>
      <c r="D15" s="248"/>
      <c r="E15" s="248"/>
    </row>
    <row r="16" spans="1:6" x14ac:dyDescent="0.25">
      <c r="A16" s="248"/>
      <c r="B16" s="248"/>
      <c r="C16" s="248"/>
      <c r="D16" s="248"/>
      <c r="E16" s="248"/>
    </row>
    <row r="17" spans="1:5" x14ac:dyDescent="0.25">
      <c r="A17" s="248"/>
      <c r="B17" s="248"/>
      <c r="C17" s="248"/>
      <c r="D17" s="248"/>
      <c r="E17" s="248"/>
    </row>
    <row r="18" spans="1:5" x14ac:dyDescent="0.25">
      <c r="A18" s="248"/>
      <c r="B18" s="248"/>
      <c r="C18" s="248"/>
      <c r="D18" s="248"/>
      <c r="E18" s="248"/>
    </row>
    <row r="19" spans="1:5" x14ac:dyDescent="0.25">
      <c r="A19" s="248"/>
      <c r="B19" s="248"/>
      <c r="C19" s="248"/>
      <c r="D19" s="248"/>
      <c r="E19" s="248"/>
    </row>
    <row r="20" spans="1:5" x14ac:dyDescent="0.25">
      <c r="A20" s="248"/>
      <c r="B20" s="248"/>
      <c r="C20" s="248"/>
      <c r="D20" s="248"/>
      <c r="E20" s="248"/>
    </row>
    <row r="21" spans="1:5" x14ac:dyDescent="0.25">
      <c r="A21" s="248"/>
      <c r="B21" s="248"/>
      <c r="C21" s="248"/>
      <c r="D21" s="248"/>
      <c r="E21" s="248"/>
    </row>
    <row r="22" spans="1:5" x14ac:dyDescent="0.25">
      <c r="A22" s="248"/>
      <c r="B22" s="248"/>
      <c r="C22" s="248"/>
      <c r="D22" s="248"/>
      <c r="E22" s="248"/>
    </row>
    <row r="23" spans="1:5" x14ac:dyDescent="0.25">
      <c r="A23" s="248"/>
      <c r="B23" s="248"/>
      <c r="C23" s="248"/>
      <c r="D23" s="248"/>
      <c r="E23" s="248"/>
    </row>
    <row r="24" spans="1:5" x14ac:dyDescent="0.25">
      <c r="A24" s="248"/>
      <c r="B24" s="248"/>
      <c r="C24" s="248"/>
      <c r="D24" s="248"/>
      <c r="E24" s="248"/>
    </row>
    <row r="25" spans="1:5" x14ac:dyDescent="0.25">
      <c r="A25" s="248"/>
      <c r="B25" s="248"/>
      <c r="C25" s="248"/>
      <c r="D25" s="248"/>
      <c r="E25" s="248"/>
    </row>
    <row r="26" spans="1:5" x14ac:dyDescent="0.25">
      <c r="A26" s="248"/>
      <c r="B26" s="248"/>
      <c r="C26" s="248"/>
      <c r="D26" s="248"/>
      <c r="E26" s="248"/>
    </row>
    <row r="27" spans="1:5" x14ac:dyDescent="0.25">
      <c r="A27" s="248"/>
      <c r="B27" s="248"/>
      <c r="C27" s="248"/>
      <c r="D27" s="248"/>
      <c r="E27" s="248"/>
    </row>
    <row r="28" spans="1:5" x14ac:dyDescent="0.25">
      <c r="A28" s="248"/>
      <c r="B28" s="248"/>
      <c r="C28" s="248"/>
      <c r="D28" s="248"/>
      <c r="E28" s="248"/>
    </row>
    <row r="29" spans="1:5" x14ac:dyDescent="0.25">
      <c r="A29" s="248"/>
      <c r="B29" s="248"/>
      <c r="C29" s="248"/>
      <c r="D29" s="248"/>
      <c r="E29" s="248"/>
    </row>
    <row r="30" spans="1:5" x14ac:dyDescent="0.25">
      <c r="A30" s="248"/>
      <c r="B30" s="248"/>
      <c r="C30" s="248"/>
      <c r="D30" s="248"/>
      <c r="E30" s="248"/>
    </row>
    <row r="31" spans="1:5" x14ac:dyDescent="0.25">
      <c r="A31" s="248"/>
      <c r="B31" s="248"/>
      <c r="C31" s="248"/>
      <c r="D31" s="248"/>
      <c r="E31" s="248"/>
    </row>
  </sheetData>
  <pageMargins left="0.7" right="0.7" top="0.75" bottom="0.75" header="0.3" footer="0.3"/>
  <customProperties>
    <customPr name="GUID" r:id="rId1"/>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5"/>
  <dimension ref="A1:L14"/>
  <sheetViews>
    <sheetView workbookViewId="0">
      <selection activeCell="I33" sqref="I33"/>
    </sheetView>
  </sheetViews>
  <sheetFormatPr defaultRowHeight="15" x14ac:dyDescent="0.25"/>
  <cols>
    <col min="1" max="1" width="22.85546875" customWidth="1"/>
    <col min="2" max="2" width="38.28515625" customWidth="1"/>
    <col min="3" max="5" width="12.85546875" customWidth="1"/>
    <col min="6" max="11" width="18.7109375" customWidth="1"/>
    <col min="12" max="12" width="13.140625" style="8" customWidth="1"/>
  </cols>
  <sheetData>
    <row r="1" spans="1:12" s="69" customFormat="1" ht="39" customHeight="1" x14ac:dyDescent="0.25">
      <c r="A1" s="69" t="s">
        <v>414</v>
      </c>
      <c r="B1" s="69" t="s">
        <v>512</v>
      </c>
      <c r="C1" s="69" t="s">
        <v>506</v>
      </c>
      <c r="D1" s="69" t="s">
        <v>508</v>
      </c>
      <c r="E1" s="69" t="s">
        <v>510</v>
      </c>
      <c r="F1" s="69" t="s">
        <v>501</v>
      </c>
      <c r="G1" s="69" t="s">
        <v>499</v>
      </c>
      <c r="H1" s="69" t="s">
        <v>497</v>
      </c>
      <c r="I1" s="69" t="s">
        <v>502</v>
      </c>
      <c r="J1" s="69" t="s">
        <v>500</v>
      </c>
      <c r="K1" s="69" t="s">
        <v>498</v>
      </c>
      <c r="L1" s="70" t="s">
        <v>489</v>
      </c>
    </row>
    <row r="2" spans="1:12" x14ac:dyDescent="0.25">
      <c r="A2" s="143" t="s">
        <v>514</v>
      </c>
      <c r="B2" s="141" t="s">
        <v>3</v>
      </c>
      <c r="C2" t="s">
        <v>507</v>
      </c>
      <c r="D2" t="s">
        <v>507</v>
      </c>
      <c r="E2" t="s">
        <v>507</v>
      </c>
      <c r="F2" s="140">
        <f>'FE DEFRA A1. Fuel Eq'!K39*(1+'FE perdas Energia'!$G$63)</f>
        <v>3.132492581180538</v>
      </c>
      <c r="G2" s="140">
        <f>'FE DEFRA A1. Fuel Eq'!L39*(1+'FE perdas Energia'!$G$63)</f>
        <v>3.1331835340266334</v>
      </c>
      <c r="H2" s="140">
        <f>'FE DEFRA A1. Fuel Eq'!M39*(1+'FE perdas Energia'!$G$63)</f>
        <v>3.1312557559032403</v>
      </c>
      <c r="I2" s="140">
        <f>'FE DEFRA A1. Fuel Eq'!N39*(1+'FE perdas Energia'!$G$63)</f>
        <v>3.1318399083780406</v>
      </c>
      <c r="J2" s="140">
        <f>'FE DEFRA A1. Fuel Eq'!O39*(1+'FE perdas Energia'!$G$63)</f>
        <v>3.1363241171985621</v>
      </c>
      <c r="K2" s="140">
        <f>'FE DEFRA A1. Fuel Eq'!P39*(1+'FE perdas Energia'!$G$63)</f>
        <v>3.1355405133689436</v>
      </c>
      <c r="L2" s="8" t="s">
        <v>55</v>
      </c>
    </row>
    <row r="3" spans="1:12" x14ac:dyDescent="0.25">
      <c r="A3" s="143" t="s">
        <v>513</v>
      </c>
      <c r="B3" s="141" t="s">
        <v>29</v>
      </c>
      <c r="C3" t="s">
        <v>507</v>
      </c>
      <c r="D3" t="s">
        <v>507</v>
      </c>
      <c r="E3" t="s">
        <v>507</v>
      </c>
      <c r="F3" s="20">
        <f>'FE Em. Fugitivas'!B8</f>
        <v>1430</v>
      </c>
      <c r="G3" s="20">
        <f>'FE Em. Fugitivas'!C8</f>
        <v>1300</v>
      </c>
      <c r="H3" s="20">
        <f>'FE Em. Fugitivas'!D8</f>
        <v>1530</v>
      </c>
      <c r="I3" s="20">
        <f>'FE Em. Fugitivas'!E8</f>
        <v>3830</v>
      </c>
      <c r="J3" s="20">
        <f>'FE Em. Fugitivas'!F8</f>
        <v>3710</v>
      </c>
      <c r="K3" s="18">
        <f>'FE Em. Fugitivas'!G8</f>
        <v>4140</v>
      </c>
      <c r="L3" s="8" t="s">
        <v>57</v>
      </c>
    </row>
    <row r="4" spans="1:12" x14ac:dyDescent="0.25">
      <c r="A4" s="143" t="s">
        <v>515</v>
      </c>
      <c r="B4" s="141" t="s">
        <v>503</v>
      </c>
      <c r="C4" s="10">
        <v>10</v>
      </c>
      <c r="D4" s="19">
        <f>(0.35+15+40*0.65)/100</f>
        <v>0.41350000000000003</v>
      </c>
      <c r="E4" s="19" t="s">
        <v>29</v>
      </c>
      <c r="F4" s="20">
        <f t="array" ref="F4">$D4*$C4*INDEX(F$2:F$12,MATCH($E4,$B$2:$B$12,0))</f>
        <v>5913.0500000000011</v>
      </c>
      <c r="G4" s="20">
        <f t="array" ref="G4">$D4*$C4*INDEX(G$2:G$12,MATCH($E4,$B$2:$B$12,0))</f>
        <v>5375.5000000000009</v>
      </c>
      <c r="H4" s="20">
        <f t="array" ref="H4">$D4*$C4*INDEX(H$2:H$12,MATCH($E4,$B$2:$B$12,0))</f>
        <v>6326.5500000000011</v>
      </c>
      <c r="I4" s="20">
        <f t="array" ref="I4">$D4*$C4*INDEX(I$2:I$12,MATCH($E4,$B$2:$B$12,0))</f>
        <v>15837.050000000003</v>
      </c>
      <c r="J4" s="20">
        <f t="array" ref="J4">$D4*$C4*INDEX(J$2:J$12,MATCH($E4,$B$2:$B$12,0))</f>
        <v>15340.850000000002</v>
      </c>
      <c r="K4" s="18">
        <f t="array" ref="K4">$D4*$C4*INDEX(K$2:K$12,MATCH($E4,$B$2:$B$12,0))</f>
        <v>17118.900000000001</v>
      </c>
      <c r="L4" s="8" t="s">
        <v>489</v>
      </c>
    </row>
    <row r="5" spans="1:12" x14ac:dyDescent="0.25">
      <c r="A5" s="143" t="s">
        <v>515</v>
      </c>
      <c r="B5" s="141" t="s">
        <v>504</v>
      </c>
      <c r="C5" s="10">
        <v>5</v>
      </c>
      <c r="D5" s="19">
        <f t="shared" ref="D5:D12" si="0">(0.35+15+40*0.65)/100</f>
        <v>0.41350000000000003</v>
      </c>
      <c r="E5" s="19" t="s">
        <v>29</v>
      </c>
      <c r="F5" s="20">
        <f t="array" ref="F5">$D5*$C5*INDEX(F$2:F$12,MATCH($E5,$B$2:$B$12,0))</f>
        <v>2956.5250000000005</v>
      </c>
      <c r="G5" s="20">
        <f t="array" ref="G5">$D5*$C5*INDEX(G$2:G$12,MATCH($E5,$B$2:$B$12,0))</f>
        <v>2687.7500000000005</v>
      </c>
      <c r="H5" s="20">
        <f t="array" ref="H5">$D5*$C5*INDEX(H$2:H$12,MATCH($E5,$B$2:$B$12,0))</f>
        <v>3163.2750000000005</v>
      </c>
      <c r="I5" s="20">
        <f t="array" ref="I5">$D5*$C5*INDEX(I$2:I$12,MATCH($E5,$B$2:$B$12,0))</f>
        <v>7918.5250000000015</v>
      </c>
      <c r="J5" s="20">
        <f t="array" ref="J5">$D5*$C5*INDEX(J$2:J$12,MATCH($E5,$B$2:$B$12,0))</f>
        <v>7670.4250000000011</v>
      </c>
      <c r="K5" s="204">
        <f t="array" ref="K5">$D5*$C5*INDEX(K$2:K$12,MATCH($E5,$B$2:$B$12,0))</f>
        <v>8559.4500000000007</v>
      </c>
      <c r="L5" s="8" t="s">
        <v>489</v>
      </c>
    </row>
    <row r="6" spans="1:12" x14ac:dyDescent="0.25">
      <c r="A6" s="143" t="s">
        <v>515</v>
      </c>
      <c r="B6" s="141" t="s">
        <v>505</v>
      </c>
      <c r="C6" s="10">
        <v>3</v>
      </c>
      <c r="D6" s="19">
        <f t="shared" si="0"/>
        <v>0.41350000000000003</v>
      </c>
      <c r="E6" s="19" t="s">
        <v>29</v>
      </c>
      <c r="F6" s="20">
        <f t="array" ref="F6">$D6*$C6*INDEX(F$2:F$12,MATCH($E6,$B$2:$B$12,0))</f>
        <v>1773.9150000000002</v>
      </c>
      <c r="G6" s="20">
        <f t="array" ref="G6">$D6*$C6*INDEX(G$2:G$12,MATCH($E6,$B$2:$B$12,0))</f>
        <v>1612.6500000000003</v>
      </c>
      <c r="H6" s="20">
        <f t="array" ref="H6">$D6*$C6*INDEX(H$2:H$12,MATCH($E6,$B$2:$B$12,0))</f>
        <v>1897.9650000000001</v>
      </c>
      <c r="I6" s="20">
        <f t="array" ref="I6">$D6*$C6*INDEX(I$2:I$12,MATCH($E6,$B$2:$B$12,0))</f>
        <v>4751.1150000000007</v>
      </c>
      <c r="J6" s="20">
        <f t="array" ref="J6">$D6*$C6*INDEX(J$2:J$12,MATCH($E6,$B$2:$B$12,0))</f>
        <v>4602.255000000001</v>
      </c>
      <c r="K6" s="204">
        <f t="array" ref="K6">$D6*$C6*INDEX(K$2:K$12,MATCH($E6,$B$2:$B$12,0))</f>
        <v>5135.670000000001</v>
      </c>
      <c r="L6" s="8" t="s">
        <v>489</v>
      </c>
    </row>
    <row r="7" spans="1:12" ht="15.75" thickBot="1" x14ac:dyDescent="0.3">
      <c r="A7" s="143" t="s">
        <v>515</v>
      </c>
      <c r="B7" s="141" t="s">
        <v>509</v>
      </c>
      <c r="C7" s="10">
        <v>7.5</v>
      </c>
      <c r="D7" s="19">
        <f t="shared" si="0"/>
        <v>0.41350000000000003</v>
      </c>
      <c r="E7" s="19" t="s">
        <v>29</v>
      </c>
      <c r="F7" s="20">
        <f t="array" ref="F7">$D7*$C7*INDEX(F$2:F$12,MATCH($E7,$B$2:$B$12,0))</f>
        <v>4434.7875000000004</v>
      </c>
      <c r="G7" s="20">
        <f t="array" ref="G7">$D7*$C7*INDEX(G$2:G$12,MATCH($E7,$B$2:$B$12,0))</f>
        <v>4031.6250000000005</v>
      </c>
      <c r="H7" s="20">
        <f t="array" ref="H7">$D7*$C7*INDEX(H$2:H$12,MATCH($E7,$B$2:$B$12,0))</f>
        <v>4744.9125000000004</v>
      </c>
      <c r="I7" s="20">
        <f t="array" ref="I7">$D7*$C7*INDEX(I$2:I$12,MATCH($E7,$B$2:$B$12,0))</f>
        <v>11877.7875</v>
      </c>
      <c r="J7" s="20">
        <f t="array" ref="J7">$D7*$C7*INDEX(J$2:J$12,MATCH($E7,$B$2:$B$12,0))</f>
        <v>11505.637500000001</v>
      </c>
      <c r="K7" s="204">
        <f t="array" ref="K7">$D7*$C7*INDEX(K$2:K$12,MATCH($E7,$B$2:$B$12,0))</f>
        <v>12839.175000000001</v>
      </c>
      <c r="L7" s="8" t="s">
        <v>489</v>
      </c>
    </row>
    <row r="8" spans="1:12" ht="15.75" thickBot="1" x14ac:dyDescent="0.3">
      <c r="A8" s="143" t="s">
        <v>515</v>
      </c>
      <c r="B8" s="142" t="s">
        <v>516</v>
      </c>
      <c r="C8" s="10">
        <v>2.5</v>
      </c>
      <c r="D8" s="19">
        <f t="shared" si="0"/>
        <v>0.41350000000000003</v>
      </c>
      <c r="E8" s="19" t="s">
        <v>29</v>
      </c>
      <c r="F8" s="20">
        <f t="array" ref="F8">$D8*$C8*INDEX(F$2:F$12,MATCH($E8,$B$2:$B$12,0))</f>
        <v>1478.2625000000003</v>
      </c>
      <c r="G8" s="20">
        <f t="array" ref="G8">$D8*$C8*INDEX(G$2:G$12,MATCH($E8,$B$2:$B$12,0))</f>
        <v>1343.8750000000002</v>
      </c>
      <c r="H8" s="20">
        <f t="array" ref="H8">$D8*$C8*INDEX(H$2:H$12,MATCH($E8,$B$2:$B$12,0))</f>
        <v>1581.6375000000003</v>
      </c>
      <c r="I8" s="20">
        <f t="array" ref="I8">$D8*$C8*INDEX(I$2:I$12,MATCH($E8,$B$2:$B$12,0))</f>
        <v>3959.2625000000007</v>
      </c>
      <c r="J8" s="20">
        <f t="array" ref="J8">$D8*$C8*INDEX(J$2:J$12,MATCH($E8,$B$2:$B$12,0))</f>
        <v>3835.2125000000005</v>
      </c>
      <c r="K8" s="204">
        <f t="array" ref="K8">$D8*$C8*INDEX(K$2:K$12,MATCH($E8,$B$2:$B$12,0))</f>
        <v>4279.7250000000004</v>
      </c>
      <c r="L8" s="8" t="s">
        <v>489</v>
      </c>
    </row>
    <row r="9" spans="1:12" ht="15.75" thickBot="1" x14ac:dyDescent="0.3">
      <c r="A9" s="143" t="s">
        <v>515</v>
      </c>
      <c r="B9" s="142" t="s">
        <v>517</v>
      </c>
      <c r="C9" s="10">
        <v>3.5</v>
      </c>
      <c r="D9" s="19">
        <f t="shared" si="0"/>
        <v>0.41350000000000003</v>
      </c>
      <c r="E9" s="19" t="s">
        <v>29</v>
      </c>
      <c r="F9" s="20">
        <f t="array" ref="F9">$D9*$C9*INDEX(F$2:F$12,MATCH($E9,$B$2:$B$12,0))</f>
        <v>2069.5675000000001</v>
      </c>
      <c r="G9" s="20">
        <f t="array" ref="G9">$D9*$C9*INDEX(G$2:G$12,MATCH($E9,$B$2:$B$12,0))</f>
        <v>1881.4250000000002</v>
      </c>
      <c r="H9" s="20">
        <f t="array" ref="H9">$D9*$C9*INDEX(H$2:H$12,MATCH($E9,$B$2:$B$12,0))</f>
        <v>2214.2925</v>
      </c>
      <c r="I9" s="20">
        <f t="array" ref="I9">$D9*$C9*INDEX(I$2:I$12,MATCH($E9,$B$2:$B$12,0))</f>
        <v>5542.9675000000007</v>
      </c>
      <c r="J9" s="20">
        <f t="array" ref="J9">$D9*$C9*INDEX(J$2:J$12,MATCH($E9,$B$2:$B$12,0))</f>
        <v>5369.2975000000006</v>
      </c>
      <c r="K9" s="204">
        <f t="array" ref="K9">$D9*$C9*INDEX(K$2:K$12,MATCH($E9,$B$2:$B$12,0))</f>
        <v>5991.6150000000007</v>
      </c>
      <c r="L9" s="8" t="s">
        <v>489</v>
      </c>
    </row>
    <row r="10" spans="1:12" ht="15.75" thickBot="1" x14ac:dyDescent="0.3">
      <c r="A10" s="143" t="s">
        <v>515</v>
      </c>
      <c r="B10" s="142" t="s">
        <v>518</v>
      </c>
      <c r="C10" s="10">
        <v>5.5</v>
      </c>
      <c r="D10" s="19">
        <f t="shared" si="0"/>
        <v>0.41350000000000003</v>
      </c>
      <c r="E10" s="19" t="s">
        <v>29</v>
      </c>
      <c r="F10" s="20">
        <f t="array" ref="F10">$D10*$C10*INDEX(F$2:F$12,MATCH($E10,$B$2:$B$12,0))</f>
        <v>3252.1775000000007</v>
      </c>
      <c r="G10" s="20">
        <f t="array" ref="G10">$D10*$C10*INDEX(G$2:G$12,MATCH($E10,$B$2:$B$12,0))</f>
        <v>2956.5250000000005</v>
      </c>
      <c r="H10" s="20">
        <f t="array" ref="H10">$D10*$C10*INDEX(H$2:H$12,MATCH($E10,$B$2:$B$12,0))</f>
        <v>3479.6025000000004</v>
      </c>
      <c r="I10" s="20">
        <f t="array" ref="I10">$D10*$C10*INDEX(I$2:I$12,MATCH($E10,$B$2:$B$12,0))</f>
        <v>8710.3775000000005</v>
      </c>
      <c r="J10" s="20">
        <f t="array" ref="J10">$D10*$C10*INDEX(J$2:J$12,MATCH($E10,$B$2:$B$12,0))</f>
        <v>8437.4675000000007</v>
      </c>
      <c r="K10" s="204">
        <f t="array" ref="K10">$D10*$C10*INDEX(K$2:K$12,MATCH($E10,$B$2:$B$12,0))</f>
        <v>9415.3950000000023</v>
      </c>
      <c r="L10" s="8" t="s">
        <v>489</v>
      </c>
    </row>
    <row r="11" spans="1:12" ht="15.75" thickBot="1" x14ac:dyDescent="0.3">
      <c r="A11" s="143" t="s">
        <v>515</v>
      </c>
      <c r="B11" s="142" t="s">
        <v>519</v>
      </c>
      <c r="C11" s="10">
        <v>1.5</v>
      </c>
      <c r="D11" s="19">
        <f t="shared" si="0"/>
        <v>0.41350000000000003</v>
      </c>
      <c r="E11" s="19" t="s">
        <v>29</v>
      </c>
      <c r="F11" s="20">
        <f t="array" ref="F11">$D11*$C11*INDEX(F$2:F$12,MATCH($E11,$B$2:$B$12,0))</f>
        <v>886.9575000000001</v>
      </c>
      <c r="G11" s="20">
        <f t="array" ref="G11">$D11*$C11*INDEX(G$2:G$12,MATCH($E11,$B$2:$B$12,0))</f>
        <v>806.32500000000016</v>
      </c>
      <c r="H11" s="20">
        <f t="array" ref="H11">$D11*$C11*INDEX(H$2:H$12,MATCH($E11,$B$2:$B$12,0))</f>
        <v>948.98250000000007</v>
      </c>
      <c r="I11" s="20">
        <f t="array" ref="I11">$D11*$C11*INDEX(I$2:I$12,MATCH($E11,$B$2:$B$12,0))</f>
        <v>2375.5575000000003</v>
      </c>
      <c r="J11" s="20">
        <f t="array" ref="J11">$D11*$C11*INDEX(J$2:J$12,MATCH($E11,$B$2:$B$12,0))</f>
        <v>2301.1275000000005</v>
      </c>
      <c r="K11" s="204">
        <f t="array" ref="K11">$D11*$C11*INDEX(K$2:K$12,MATCH($E11,$B$2:$B$12,0))</f>
        <v>2567.8350000000005</v>
      </c>
      <c r="L11" s="8" t="s">
        <v>489</v>
      </c>
    </row>
    <row r="12" spans="1:12" ht="15.75" thickBot="1" x14ac:dyDescent="0.3">
      <c r="A12" s="143" t="s">
        <v>515</v>
      </c>
      <c r="B12" s="142" t="s">
        <v>520</v>
      </c>
      <c r="C12" s="10">
        <v>3</v>
      </c>
      <c r="D12" s="19">
        <f t="shared" si="0"/>
        <v>0.41350000000000003</v>
      </c>
      <c r="E12" s="19" t="s">
        <v>29</v>
      </c>
      <c r="F12" s="20">
        <f t="array" ref="F12">$D12*$C12*INDEX(F$2:F$12,MATCH($E12,$B$2:$B$12,0))</f>
        <v>1773.9150000000002</v>
      </c>
      <c r="G12" s="20">
        <f t="array" ref="G12">$D12*$C12*INDEX(G$2:G$12,MATCH($E12,$B$2:$B$12,0))</f>
        <v>1612.6500000000003</v>
      </c>
      <c r="H12" s="20">
        <f t="array" ref="H12">$D12*$C12*INDEX(H$2:H$12,MATCH($E12,$B$2:$B$12,0))</f>
        <v>1897.9650000000001</v>
      </c>
      <c r="I12" s="20">
        <f t="array" ref="I12">$D12*$C12*INDEX(I$2:I$12,MATCH($E12,$B$2:$B$12,0))</f>
        <v>4751.1150000000007</v>
      </c>
      <c r="J12" s="20">
        <f t="array" ref="J12">$D12*$C12*INDEX(J$2:J$12,MATCH($E12,$B$2:$B$12,0))</f>
        <v>4602.255000000001</v>
      </c>
      <c r="K12" s="204">
        <f t="array" ref="K12">$D12*$C12*INDEX(K$2:K$12,MATCH($E12,$B$2:$B$12,0))</f>
        <v>5135.670000000001</v>
      </c>
      <c r="L12" s="8" t="s">
        <v>489</v>
      </c>
    </row>
    <row r="14" spans="1:12" x14ac:dyDescent="0.25">
      <c r="I14" s="69"/>
    </row>
  </sheetData>
  <dataValidations count="1">
    <dataValidation type="list" allowBlank="1" showInputMessage="1" showErrorMessage="1" sqref="A2:A12">
      <formula1>"Combustíveis, Óleos e Aditivos, Equipamentos de AC, Gases Refrigerantes, Outro"</formula1>
    </dataValidation>
  </dataValidations>
  <pageMargins left="0.7" right="0.7" top="0.75" bottom="0.75" header="0.3" footer="0.3"/>
  <customProperties>
    <customPr name="GUID" r:id="rId1"/>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6"/>
  <dimension ref="A1:E22"/>
  <sheetViews>
    <sheetView workbookViewId="0">
      <selection activeCell="C1" sqref="C1:E4"/>
    </sheetView>
  </sheetViews>
  <sheetFormatPr defaultRowHeight="15" x14ac:dyDescent="0.25"/>
  <cols>
    <col min="1" max="5" width="9.140625" style="8"/>
  </cols>
  <sheetData>
    <row r="1" spans="1:5" ht="15.75" thickBot="1" x14ac:dyDescent="0.3">
      <c r="A1" s="3" t="s">
        <v>17</v>
      </c>
      <c r="B1" s="3" t="s">
        <v>18</v>
      </c>
      <c r="C1" s="1" t="s">
        <v>19</v>
      </c>
      <c r="D1" s="3" t="s">
        <v>20</v>
      </c>
      <c r="E1" s="3" t="s">
        <v>21</v>
      </c>
    </row>
    <row r="2" spans="1:5" ht="15.75" thickBot="1" x14ac:dyDescent="0.3">
      <c r="A2" s="6" t="s">
        <v>22</v>
      </c>
      <c r="B2" s="6">
        <v>1</v>
      </c>
      <c r="C2" s="6">
        <v>1</v>
      </c>
      <c r="D2" s="6">
        <v>1</v>
      </c>
      <c r="E2" s="6">
        <v>1</v>
      </c>
    </row>
    <row r="3" spans="1:5" ht="15.75" thickBot="1" x14ac:dyDescent="0.3">
      <c r="A3" s="6" t="s">
        <v>23</v>
      </c>
      <c r="B3" s="6"/>
      <c r="C3" s="6">
        <v>72</v>
      </c>
      <c r="D3" s="6">
        <v>85</v>
      </c>
      <c r="E3" s="6">
        <v>81.2</v>
      </c>
    </row>
    <row r="4" spans="1:5" ht="15.75" thickBot="1" x14ac:dyDescent="0.3">
      <c r="A4" s="6" t="s">
        <v>24</v>
      </c>
      <c r="B4" s="6"/>
      <c r="C4" s="6">
        <v>289</v>
      </c>
      <c r="D4" s="6">
        <v>264</v>
      </c>
      <c r="E4" s="6">
        <v>273</v>
      </c>
    </row>
    <row r="5" spans="1:5" ht="15.75" thickBot="1" x14ac:dyDescent="0.3">
      <c r="A5" s="6" t="s">
        <v>25</v>
      </c>
      <c r="B5" s="6"/>
      <c r="C5" s="6"/>
      <c r="D5" s="6"/>
      <c r="E5" s="6"/>
    </row>
    <row r="6" spans="1:5" ht="15.75" thickBot="1" x14ac:dyDescent="0.3">
      <c r="A6" s="6" t="s">
        <v>58</v>
      </c>
      <c r="B6" s="6"/>
      <c r="C6" s="6">
        <v>5160</v>
      </c>
      <c r="D6" s="6">
        <v>5280</v>
      </c>
      <c r="E6" s="6">
        <v>5690</v>
      </c>
    </row>
    <row r="7" spans="1:5" ht="15.75" thickBot="1" x14ac:dyDescent="0.3">
      <c r="A7" s="6" t="s">
        <v>26</v>
      </c>
      <c r="B7" s="6"/>
      <c r="C7" s="6">
        <v>2330</v>
      </c>
      <c r="D7" s="6">
        <v>2430</v>
      </c>
      <c r="E7" s="6">
        <v>2690</v>
      </c>
    </row>
    <row r="8" spans="1:5" ht="15.75" thickBot="1" x14ac:dyDescent="0.3">
      <c r="A8" s="6" t="s">
        <v>27</v>
      </c>
      <c r="B8" s="6"/>
      <c r="C8" s="6"/>
      <c r="D8" s="6"/>
      <c r="E8" s="6"/>
    </row>
    <row r="9" spans="1:5" ht="15.75" thickBot="1" x14ac:dyDescent="0.3">
      <c r="A9" s="6" t="s">
        <v>28</v>
      </c>
      <c r="B9" s="6"/>
      <c r="C9" s="6">
        <v>6350</v>
      </c>
      <c r="D9" s="6">
        <v>6090</v>
      </c>
      <c r="E9" s="6">
        <v>6740</v>
      </c>
    </row>
    <row r="10" spans="1:5" ht="15.75" thickBot="1" x14ac:dyDescent="0.3">
      <c r="A10" s="6" t="s">
        <v>29</v>
      </c>
      <c r="B10" s="6"/>
      <c r="C10" s="6">
        <v>3830</v>
      </c>
      <c r="D10" s="6">
        <v>3710</v>
      </c>
      <c r="E10" s="6">
        <v>4140</v>
      </c>
    </row>
    <row r="11" spans="1:5" ht="15.75" thickBot="1" x14ac:dyDescent="0.3">
      <c r="A11" s="6" t="s">
        <v>59</v>
      </c>
      <c r="B11" s="6"/>
      <c r="C11" s="6">
        <v>4115</v>
      </c>
      <c r="D11" s="6">
        <v>4011</v>
      </c>
      <c r="E11" s="6">
        <v>4457</v>
      </c>
    </row>
    <row r="12" spans="1:5" ht="15.75" thickBot="1" x14ac:dyDescent="0.3">
      <c r="A12" s="6" t="s">
        <v>30</v>
      </c>
      <c r="B12" s="6"/>
      <c r="C12" s="6"/>
      <c r="D12" s="6"/>
      <c r="E12" s="6"/>
    </row>
    <row r="13" spans="1:5" ht="15.75" thickBot="1" x14ac:dyDescent="0.3">
      <c r="A13" s="6" t="s">
        <v>31</v>
      </c>
      <c r="B13" s="6"/>
      <c r="C13" s="6"/>
      <c r="D13" s="6"/>
      <c r="E13" s="6"/>
    </row>
    <row r="14" spans="1:5" ht="15.75" thickBot="1" x14ac:dyDescent="0.3">
      <c r="A14" s="6" t="s">
        <v>32</v>
      </c>
      <c r="B14" s="6"/>
      <c r="C14" s="6"/>
      <c r="D14" s="6"/>
      <c r="E14" s="6"/>
    </row>
    <row r="15" spans="1:5" ht="15.75" thickBot="1" x14ac:dyDescent="0.3">
      <c r="A15" s="6" t="s">
        <v>33</v>
      </c>
      <c r="B15" s="6"/>
      <c r="C15" s="6"/>
      <c r="D15" s="6"/>
      <c r="E15" s="6"/>
    </row>
    <row r="16" spans="1:5" ht="15.75" thickBot="1" x14ac:dyDescent="0.3">
      <c r="A16" s="6" t="s">
        <v>34</v>
      </c>
      <c r="B16" s="6"/>
      <c r="C16" s="6"/>
      <c r="D16" s="6"/>
      <c r="E16" s="6"/>
    </row>
    <row r="17" spans="1:5" ht="15.75" thickBot="1" x14ac:dyDescent="0.3">
      <c r="A17" s="6" t="s">
        <v>35</v>
      </c>
      <c r="B17" s="6"/>
      <c r="C17" s="6"/>
      <c r="D17" s="6"/>
      <c r="E17" s="6"/>
    </row>
    <row r="18" spans="1:5" ht="15.75" thickBot="1" x14ac:dyDescent="0.3">
      <c r="A18" s="6" t="s">
        <v>36</v>
      </c>
      <c r="B18" s="6"/>
      <c r="C18" s="6"/>
      <c r="D18" s="6"/>
      <c r="E18" s="6"/>
    </row>
    <row r="19" spans="1:5" ht="15.75" thickBot="1" x14ac:dyDescent="0.3">
      <c r="A19" s="6" t="s">
        <v>37</v>
      </c>
      <c r="B19" s="6"/>
      <c r="C19" s="6"/>
      <c r="D19" s="6"/>
      <c r="E19" s="6"/>
    </row>
    <row r="20" spans="1:5" ht="15.75" thickBot="1" x14ac:dyDescent="0.3">
      <c r="A20" s="6" t="s">
        <v>38</v>
      </c>
      <c r="B20" s="6"/>
      <c r="C20" s="6"/>
      <c r="D20" s="6"/>
      <c r="E20" s="6"/>
    </row>
    <row r="21" spans="1:5" ht="15.75" thickBot="1" x14ac:dyDescent="0.3">
      <c r="A21" s="6" t="s">
        <v>39</v>
      </c>
      <c r="B21" s="6"/>
      <c r="C21" s="6"/>
      <c r="D21" s="6"/>
      <c r="E21" s="6"/>
    </row>
    <row r="22" spans="1:5" ht="15.75" thickBot="1" x14ac:dyDescent="0.3">
      <c r="A22" s="6" t="s">
        <v>40</v>
      </c>
      <c r="B22" s="6"/>
      <c r="C22" s="6"/>
      <c r="D22" s="6"/>
      <c r="E22" s="6"/>
    </row>
  </sheetData>
  <pageMargins left="0.7" right="0.7" top="0.75" bottom="0.75" header="0.3" footer="0.3"/>
  <customProperties>
    <customPr name="GU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3"/>
  <dimension ref="A1:M68"/>
  <sheetViews>
    <sheetView topLeftCell="E16" workbookViewId="0">
      <selection activeCell="A32" sqref="A32:E48"/>
    </sheetView>
  </sheetViews>
  <sheetFormatPr defaultRowHeight="15" x14ac:dyDescent="0.25"/>
  <cols>
    <col min="1" max="1" width="24.7109375" bestFit="1" customWidth="1"/>
    <col min="3" max="3" width="15.5703125" bestFit="1" customWidth="1"/>
    <col min="5" max="5" width="52.7109375" bestFit="1" customWidth="1"/>
    <col min="6" max="6" width="52.7109375" customWidth="1"/>
    <col min="7" max="7" width="8.42578125" bestFit="1" customWidth="1"/>
    <col min="8" max="8" width="7.5703125" bestFit="1" customWidth="1"/>
    <col min="9" max="9" width="8.85546875" bestFit="1" customWidth="1"/>
    <col min="10" max="12" width="13.140625" customWidth="1"/>
  </cols>
  <sheetData>
    <row r="1" spans="1:13" ht="45.75" thickBot="1" x14ac:dyDescent="0.3">
      <c r="A1" s="2" t="s">
        <v>11</v>
      </c>
      <c r="B1" s="2" t="s">
        <v>12</v>
      </c>
      <c r="C1" s="1" t="s">
        <v>0</v>
      </c>
      <c r="D1" s="3" t="s">
        <v>1</v>
      </c>
      <c r="E1" s="3" t="s">
        <v>511</v>
      </c>
      <c r="F1" s="3" t="s">
        <v>780</v>
      </c>
      <c r="G1" s="3" t="s">
        <v>53</v>
      </c>
      <c r="H1" s="3" t="s">
        <v>54</v>
      </c>
      <c r="I1" s="12" t="s">
        <v>60</v>
      </c>
      <c r="J1">
        <v>2019</v>
      </c>
      <c r="K1" s="155">
        <v>20.190000000000001</v>
      </c>
      <c r="L1">
        <v>2021</v>
      </c>
      <c r="M1" s="155">
        <v>20.21</v>
      </c>
    </row>
    <row r="2" spans="1:13" ht="15.75" thickBot="1" x14ac:dyDescent="0.3">
      <c r="A2" s="4" t="s">
        <v>2</v>
      </c>
      <c r="B2" s="7" t="s">
        <v>13</v>
      </c>
      <c r="C2" s="5" t="s">
        <v>3</v>
      </c>
      <c r="D2" s="6" t="s">
        <v>8</v>
      </c>
      <c r="E2" s="6" t="str">
        <f>A2&amp;": "&amp;B2&amp;" : "&amp;C2&amp;" : "&amp;D2</f>
        <v>Pesado de Passageiros M3: I : Gasóleo : E0</v>
      </c>
      <c r="F2" s="6" t="str">
        <f>A2&amp;": "&amp;B2&amp;" : "&amp;C2</f>
        <v>Pesado de Passageiros M3: I : Gasóleo</v>
      </c>
      <c r="G2" s="6" t="s">
        <v>55</v>
      </c>
      <c r="H2" s="6" t="s">
        <v>96</v>
      </c>
      <c r="I2" s="9">
        <f>IF(H2="MJ",INDEX(Tabela1[Energia (MJ/Qtd.)],MATCH(C2,Tabela1[Fuel],0)),IF(H2="GJ",INDEX(Tabela1[Energia (GJ/Qtd.)2],MATCH(C2,Tabela1[Fuel],0)),"XXX"))</f>
        <v>3.5868000000000004E-2</v>
      </c>
      <c r="J2" s="211">
        <v>7748708</v>
      </c>
      <c r="K2" s="212">
        <f t="array" ref="K2">J2/SUMPRODUCT(IF(F$2:F$47=F2,1,0),J$2:J$47)</f>
        <v>2.0962969038778808E-2</v>
      </c>
      <c r="L2" s="211">
        <v>4241993</v>
      </c>
      <c r="M2" s="212">
        <f t="array" ref="M2">L2/SUMPRODUCT(IF(F$2:F$47=F2,1,0),L$2:L$47)</f>
        <v>1.4390775406824449E-2</v>
      </c>
    </row>
    <row r="3" spans="1:13" ht="15.75" thickBot="1" x14ac:dyDescent="0.3">
      <c r="A3" s="4" t="s">
        <v>2</v>
      </c>
      <c r="B3" s="7" t="s">
        <v>13</v>
      </c>
      <c r="C3" s="5" t="s">
        <v>3</v>
      </c>
      <c r="D3" s="6" t="s">
        <v>7</v>
      </c>
      <c r="E3" s="6" t="str">
        <f t="shared" ref="E3:E23" si="0">A3&amp;": "&amp;B3&amp;" : "&amp;C3&amp;" : "&amp;D3</f>
        <v>Pesado de Passageiros M3: I : Gasóleo : E1</v>
      </c>
      <c r="F3" s="6" t="str">
        <f t="shared" ref="F3:F23" si="1">A3&amp;": "&amp;B3&amp;" : "&amp;C3</f>
        <v>Pesado de Passageiros M3: I : Gasóleo</v>
      </c>
      <c r="G3" s="6" t="s">
        <v>55</v>
      </c>
      <c r="H3" s="6" t="s">
        <v>96</v>
      </c>
      <c r="I3" s="9">
        <f>IF(H3="MJ",INDEX(Tabela1[Energia (MJ/Qtd.)],MATCH(C3,Tabela1[Fuel],0)),IF(H3="GJ",INDEX(Tabela1[Energia (GJ/Qtd.)2],MATCH(C3,Tabela1[Fuel],0)),"XXX"))</f>
        <v>3.5868000000000004E-2</v>
      </c>
      <c r="J3" s="211">
        <v>7630703</v>
      </c>
      <c r="K3" s="212">
        <f t="array" ref="K3">J3/SUMPRODUCT(IF(F$2:F$47=F3,1,0),J$2:J$47)</f>
        <v>2.0643724183840268E-2</v>
      </c>
      <c r="L3" s="211">
        <v>4368162</v>
      </c>
      <c r="M3" s="212">
        <f t="array" ref="M3">L3/SUMPRODUCT(IF(F$2:F$47=F3,1,0),L$2:L$47)</f>
        <v>1.4818798211742711E-2</v>
      </c>
    </row>
    <row r="4" spans="1:13" ht="15.75" thickBot="1" x14ac:dyDescent="0.3">
      <c r="A4" s="4" t="s">
        <v>2</v>
      </c>
      <c r="B4" s="7" t="s">
        <v>13</v>
      </c>
      <c r="C4" s="5" t="s">
        <v>3</v>
      </c>
      <c r="D4" s="6" t="s">
        <v>9</v>
      </c>
      <c r="E4" s="6" t="str">
        <f t="shared" si="0"/>
        <v>Pesado de Passageiros M3: I : Gasóleo : E2</v>
      </c>
      <c r="F4" s="6" t="str">
        <f t="shared" si="1"/>
        <v>Pesado de Passageiros M3: I : Gasóleo</v>
      </c>
      <c r="G4" s="6" t="s">
        <v>55</v>
      </c>
      <c r="H4" s="6" t="s">
        <v>96</v>
      </c>
      <c r="I4" s="9">
        <f>IF(H4="MJ",INDEX(Tabela1[Energia (MJ/Qtd.)],MATCH(C4,Tabela1[Fuel],0)),IF(H4="GJ",INDEX(Tabela1[Energia (GJ/Qtd.)2],MATCH(C4,Tabela1[Fuel],0)),"XXX"))</f>
        <v>3.5868000000000004E-2</v>
      </c>
      <c r="J4" s="211">
        <v>49004684</v>
      </c>
      <c r="K4" s="212">
        <f t="array" ref="K4">J4/SUMPRODUCT(IF(F$2:F$47=F4,1,0),J$2:J$47)</f>
        <v>0.13257483356543301</v>
      </c>
      <c r="L4" s="211">
        <v>29259716</v>
      </c>
      <c r="M4" s="212">
        <f t="array" ref="M4">L4/SUMPRODUCT(IF(F$2:F$47=F4,1,0),L$2:L$47)</f>
        <v>9.9262304634512091E-2</v>
      </c>
    </row>
    <row r="5" spans="1:13" ht="15.75" thickBot="1" x14ac:dyDescent="0.3">
      <c r="A5" s="4" t="s">
        <v>2</v>
      </c>
      <c r="B5" s="7" t="s">
        <v>13</v>
      </c>
      <c r="C5" s="5" t="s">
        <v>3</v>
      </c>
      <c r="D5" s="6" t="s">
        <v>10</v>
      </c>
      <c r="E5" s="6" t="str">
        <f t="shared" si="0"/>
        <v>Pesado de Passageiros M3: I : Gasóleo : E3</v>
      </c>
      <c r="F5" s="6" t="str">
        <f t="shared" si="1"/>
        <v>Pesado de Passageiros M3: I : Gasóleo</v>
      </c>
      <c r="G5" s="6" t="s">
        <v>55</v>
      </c>
      <c r="H5" s="6" t="s">
        <v>96</v>
      </c>
      <c r="I5" s="9">
        <f>IF(H5="MJ",INDEX(Tabela1[Energia (MJ/Qtd.)],MATCH(C5,Tabela1[Fuel],0)),IF(H5="GJ",INDEX(Tabela1[Energia (GJ/Qtd.)2],MATCH(C5,Tabela1[Fuel],0)),"XXX"))</f>
        <v>3.5868000000000004E-2</v>
      </c>
      <c r="J5" s="211">
        <v>98498090</v>
      </c>
      <c r="K5" s="212">
        <f t="array" ref="K5">J5/SUMPRODUCT(IF(F$2:F$47=F5,1,0),J$2:J$47)</f>
        <v>0.26647183131030983</v>
      </c>
      <c r="L5" s="211">
        <v>70226662</v>
      </c>
      <c r="M5" s="212">
        <f t="array" ref="M5">L5/SUMPRODUCT(IF(F$2:F$47=F5,1,0),L$2:L$47)</f>
        <v>0.23824087413934278</v>
      </c>
    </row>
    <row r="6" spans="1:13" ht="15.75" thickBot="1" x14ac:dyDescent="0.3">
      <c r="A6" s="4" t="s">
        <v>2</v>
      </c>
      <c r="B6" s="7" t="s">
        <v>13</v>
      </c>
      <c r="C6" s="5" t="s">
        <v>3</v>
      </c>
      <c r="D6" s="6" t="s">
        <v>4</v>
      </c>
      <c r="E6" s="6" t="str">
        <f t="shared" si="0"/>
        <v>Pesado de Passageiros M3: I : Gasóleo : E4</v>
      </c>
      <c r="F6" s="6" t="str">
        <f t="shared" si="1"/>
        <v>Pesado de Passageiros M3: I : Gasóleo</v>
      </c>
      <c r="G6" s="6" t="s">
        <v>55</v>
      </c>
      <c r="H6" s="6" t="s">
        <v>96</v>
      </c>
      <c r="I6" s="9">
        <f>IF(H6="MJ",INDEX(Tabela1[Energia (MJ/Qtd.)],MATCH(C6,Tabela1[Fuel],0)),IF(H6="GJ",INDEX(Tabela1[Energia (GJ/Qtd.)2],MATCH(C6,Tabela1[Fuel],0)),"XXX"))</f>
        <v>3.5868000000000004E-2</v>
      </c>
      <c r="J6" s="211">
        <v>81806403</v>
      </c>
      <c r="K6" s="212">
        <f t="array" ref="K6">J6/SUMPRODUCT(IF(F$2:F$47=F6,1,0),J$2:J$47)</f>
        <v>0.22131497189761978</v>
      </c>
      <c r="L6" s="211">
        <v>65761230</v>
      </c>
      <c r="M6" s="212">
        <f t="array" ref="M6">L6/SUMPRODUCT(IF(F$2:F$47=F6,1,0),L$2:L$47)</f>
        <v>0.22309209171408961</v>
      </c>
    </row>
    <row r="7" spans="1:13" ht="15.75" thickBot="1" x14ac:dyDescent="0.3">
      <c r="A7" s="4" t="s">
        <v>2</v>
      </c>
      <c r="B7" s="7" t="s">
        <v>13</v>
      </c>
      <c r="C7" s="5" t="s">
        <v>3</v>
      </c>
      <c r="D7" s="6" t="s">
        <v>5</v>
      </c>
      <c r="E7" s="6" t="str">
        <f t="shared" si="0"/>
        <v>Pesado de Passageiros M3: I : Gasóleo : E5</v>
      </c>
      <c r="F7" s="6" t="str">
        <f t="shared" si="1"/>
        <v>Pesado de Passageiros M3: I : Gasóleo</v>
      </c>
      <c r="G7" s="6" t="s">
        <v>55</v>
      </c>
      <c r="H7" s="6" t="s">
        <v>96</v>
      </c>
      <c r="I7" s="9">
        <f>IF(H7="MJ",INDEX(Tabela1[Energia (MJ/Qtd.)],MATCH(C7,Tabela1[Fuel],0)),IF(H7="GJ",INDEX(Tabela1[Energia (GJ/Qtd.)2],MATCH(C7,Tabela1[Fuel],0)),"XXX"))</f>
        <v>3.5868000000000004E-2</v>
      </c>
      <c r="J7" s="211">
        <v>53644290</v>
      </c>
      <c r="K7" s="212">
        <f t="array" ref="K7">J7/SUMPRODUCT(IF(F$2:F$47=F7,1,0),J$2:J$47)</f>
        <v>0.14512659276582257</v>
      </c>
      <c r="L7" s="211">
        <v>48004283</v>
      </c>
      <c r="M7" s="212">
        <f t="array" ref="M7">L7/SUMPRODUCT(IF(F$2:F$47=F7,1,0),L$2:L$47)</f>
        <v>0.1628524269650235</v>
      </c>
    </row>
    <row r="8" spans="1:13" ht="15.75" thickBot="1" x14ac:dyDescent="0.3">
      <c r="A8" s="4" t="s">
        <v>2</v>
      </c>
      <c r="B8" s="7" t="s">
        <v>13</v>
      </c>
      <c r="C8" s="5" t="s">
        <v>3</v>
      </c>
      <c r="D8" s="6" t="s">
        <v>6</v>
      </c>
      <c r="E8" s="6" t="str">
        <f t="shared" si="0"/>
        <v>Pesado de Passageiros M3: I : Gasóleo : E6</v>
      </c>
      <c r="F8" s="6" t="str">
        <f t="shared" si="1"/>
        <v>Pesado de Passageiros M3: I : Gasóleo</v>
      </c>
      <c r="G8" s="6" t="s">
        <v>55</v>
      </c>
      <c r="H8" s="6" t="s">
        <v>96</v>
      </c>
      <c r="I8" s="9">
        <f>IF(H8="MJ",INDEX(Tabela1[Energia (MJ/Qtd.)],MATCH(C8,Tabela1[Fuel],0)),IF(H8="GJ",INDEX(Tabela1[Energia (GJ/Qtd.)2],MATCH(C8,Tabela1[Fuel],0)),"XXX"))</f>
        <v>3.5868000000000004E-2</v>
      </c>
      <c r="J8" s="211">
        <v>62095839</v>
      </c>
      <c r="K8" s="212">
        <f t="array" ref="K8">J8/SUMPRODUCT(IF(F$2:F$47=F8,1,0),J$2:J$47)</f>
        <v>0.1679909928718431</v>
      </c>
      <c r="L8" s="211">
        <v>56792873</v>
      </c>
      <c r="M8" s="212">
        <f t="array" ref="M8">L8/SUMPRODUCT(IF(F$2:F$47=F8,1,0),L$2:L$47)</f>
        <v>0.19266733350368664</v>
      </c>
    </row>
    <row r="9" spans="1:13" ht="15.75" thickBot="1" x14ac:dyDescent="0.3">
      <c r="A9" s="4" t="s">
        <v>2</v>
      </c>
      <c r="B9" s="7" t="s">
        <v>13</v>
      </c>
      <c r="C9" s="5" t="s">
        <v>3</v>
      </c>
      <c r="D9" s="6" t="s">
        <v>81</v>
      </c>
      <c r="E9" s="6" t="str">
        <f t="shared" si="0"/>
        <v>Pesado de Passageiros M3: I : Gasóleo : E6 D/E E7</v>
      </c>
      <c r="F9" s="6" t="str">
        <f t="shared" si="1"/>
        <v>Pesado de Passageiros M3: I : Gasóleo</v>
      </c>
      <c r="G9" s="6" t="s">
        <v>55</v>
      </c>
      <c r="H9" s="6" t="s">
        <v>96</v>
      </c>
      <c r="I9" s="9">
        <f>IF(H9="MJ",INDEX(Tabela1[Energia (MJ/Qtd.)],MATCH(C9,Tabela1[Fuel],0)),IF(H9="GJ",INDEX(Tabela1[Energia (GJ/Qtd.)2],MATCH(C9,Tabela1[Fuel],0)),"XXX"))</f>
        <v>3.5868000000000004E-2</v>
      </c>
      <c r="J9" s="211">
        <v>9209190</v>
      </c>
      <c r="K9" s="212">
        <f t="array" ref="K9">J9/SUMPRODUCT(IF(F$2:F$47=F9,1,0),J$2:J$47)</f>
        <v>2.4914084366352611E-2</v>
      </c>
      <c r="L9" s="211">
        <v>16116758</v>
      </c>
      <c r="M9" s="212">
        <f t="array" ref="M9">L9/SUMPRODUCT(IF(F$2:F$47=F9,1,0),L$2:L$47)</f>
        <v>5.4675395424778207E-2</v>
      </c>
    </row>
    <row r="10" spans="1:13" ht="15.75" thickBot="1" x14ac:dyDescent="0.3">
      <c r="A10" s="4" t="s">
        <v>2</v>
      </c>
      <c r="B10" s="7" t="s">
        <v>13</v>
      </c>
      <c r="C10" s="5" t="s">
        <v>92</v>
      </c>
      <c r="D10" s="6" t="s">
        <v>7</v>
      </c>
      <c r="E10" s="6" t="str">
        <f t="shared" si="0"/>
        <v>Pesado de Passageiros M3: I : GNC : E1</v>
      </c>
      <c r="F10" s="6" t="str">
        <f t="shared" si="1"/>
        <v>Pesado de Passageiros M3: I : GNC</v>
      </c>
      <c r="G10" s="6" t="s">
        <v>56</v>
      </c>
      <c r="H10" s="6" t="s">
        <v>96</v>
      </c>
      <c r="I10" s="9">
        <f>IF(H10="MJ",INDEX(Tabela1[Energia (MJ/Qtd.)],MATCH(C10,Tabela1[Fuel],0)),IF(H10="GJ",INDEX(Tabela1[Energia (GJ/Qtd.)2],MATCH(C10,Tabela1[Fuel],0)),"XXX"))</f>
        <v>3.7521600000000002E-2</v>
      </c>
      <c r="J10" s="211">
        <v>3586812</v>
      </c>
      <c r="K10" s="212">
        <f t="array" ref="K10">J10/SUMPRODUCT(IF(F$2:F$47=F10,1,0),J$2:J$47)</f>
        <v>0.10240912170196149</v>
      </c>
      <c r="L10" s="211">
        <v>24978</v>
      </c>
      <c r="M10" s="212">
        <f t="array" ref="M10">L10/SUMPRODUCT(IF(F$2:F$47=F10,1,0),L$2:L$47)</f>
        <v>5.8643323409030446E-4</v>
      </c>
    </row>
    <row r="11" spans="1:13" ht="15.75" thickBot="1" x14ac:dyDescent="0.3">
      <c r="A11" s="4" t="s">
        <v>2</v>
      </c>
      <c r="B11" s="7" t="s">
        <v>13</v>
      </c>
      <c r="C11" s="5" t="s">
        <v>92</v>
      </c>
      <c r="D11" s="6" t="s">
        <v>10</v>
      </c>
      <c r="E11" s="6" t="str">
        <f t="shared" si="0"/>
        <v>Pesado de Passageiros M3: I : GNC : E3</v>
      </c>
      <c r="F11" s="6" t="str">
        <f t="shared" si="1"/>
        <v>Pesado de Passageiros M3: I : GNC</v>
      </c>
      <c r="G11" s="6" t="s">
        <v>56</v>
      </c>
      <c r="H11" s="6" t="s">
        <v>96</v>
      </c>
      <c r="I11" s="9">
        <f>IF(H11="MJ",INDEX(Tabela1[Energia (MJ/Qtd.)],MATCH(C11,Tabela1[Fuel],0)),IF(H11="GJ",INDEX(Tabela1[Energia (GJ/Qtd.)2],MATCH(C11,Tabela1[Fuel],0)),"XXX"))</f>
        <v>3.7521600000000002E-2</v>
      </c>
      <c r="J11" s="211">
        <v>3586812</v>
      </c>
      <c r="K11" s="212">
        <f t="array" ref="K11">J11/SUMPRODUCT(IF(F$2:F$47=F11,1,0),J$2:J$47)</f>
        <v>0.10240912170196149</v>
      </c>
      <c r="L11" s="211">
        <v>2188723</v>
      </c>
      <c r="M11" s="212">
        <f t="array" ref="M11">L11/SUMPRODUCT(IF(F$2:F$47=F11,1,0),L$2:L$47)</f>
        <v>5.1386816695405291E-2</v>
      </c>
    </row>
    <row r="12" spans="1:13" ht="15.75" thickBot="1" x14ac:dyDescent="0.3">
      <c r="A12" s="4" t="s">
        <v>2</v>
      </c>
      <c r="B12" s="7" t="s">
        <v>13</v>
      </c>
      <c r="C12" s="5" t="s">
        <v>92</v>
      </c>
      <c r="D12" s="6" t="s">
        <v>5</v>
      </c>
      <c r="E12" s="6" t="str">
        <f t="shared" si="0"/>
        <v>Pesado de Passageiros M3: I : GNC : E5</v>
      </c>
      <c r="F12" s="6" t="str">
        <f t="shared" si="1"/>
        <v>Pesado de Passageiros M3: I : GNC</v>
      </c>
      <c r="G12" s="6" t="s">
        <v>56</v>
      </c>
      <c r="H12" s="6" t="s">
        <v>96</v>
      </c>
      <c r="I12" s="9">
        <f>IF(H12="MJ",INDEX(Tabela1[Energia (MJ/Qtd.)],MATCH(C12,Tabela1[Fuel],0)),IF(H12="GJ",INDEX(Tabela1[Energia (GJ/Qtd.)2],MATCH(C12,Tabela1[Fuel],0)),"XXX"))</f>
        <v>3.7521600000000002E-2</v>
      </c>
      <c r="J12" s="211">
        <v>27850717</v>
      </c>
      <c r="K12" s="212">
        <f t="array" ref="K12">J12/SUMPRODUCT(IF(F$2:F$47=F12,1,0),J$2:J$47)</f>
        <v>0.79518175659607704</v>
      </c>
      <c r="L12" s="211">
        <v>40379383</v>
      </c>
      <c r="M12" s="212">
        <f t="array" ref="M12">L12/SUMPRODUCT(IF(F$2:F$47=F12,1,0),L$2:L$47)</f>
        <v>0.94802675007050441</v>
      </c>
    </row>
    <row r="13" spans="1:13" ht="15.75" thickBot="1" x14ac:dyDescent="0.3">
      <c r="A13" s="4" t="s">
        <v>2</v>
      </c>
      <c r="B13" s="7" t="s">
        <v>13</v>
      </c>
      <c r="C13" s="5" t="s">
        <v>95</v>
      </c>
      <c r="D13" s="6" t="s">
        <v>7</v>
      </c>
      <c r="E13" s="6" t="str">
        <f t="shared" si="0"/>
        <v>Pesado de Passageiros M3: I : GNL : E1</v>
      </c>
      <c r="F13" s="6" t="str">
        <f t="shared" si="1"/>
        <v>Pesado de Passageiros M3: I : GNL</v>
      </c>
      <c r="G13" s="6" t="s">
        <v>57</v>
      </c>
      <c r="H13" s="6" t="s">
        <v>96</v>
      </c>
      <c r="I13" s="9">
        <f>IF(H13="MJ",INDEX(Tabela1[Energia (MJ/Qtd.)],MATCH(C13,Tabela1[Fuel],0)),IF(H13="GJ",INDEX(Tabela1[Energia (GJ/Qtd.)2],MATCH(C13,Tabela1[Fuel],0)),"XXX"))</f>
        <v>4.8000000000000001E-2</v>
      </c>
      <c r="J13">
        <f>J10</f>
        <v>3586812</v>
      </c>
      <c r="K13" s="212">
        <f t="array" ref="K13">J13/SUMPRODUCT(IF(F$2:F$47=F13,1,0),J$2:J$47)</f>
        <v>0.10240912170196149</v>
      </c>
      <c r="L13">
        <f>L10</f>
        <v>24978</v>
      </c>
      <c r="M13" s="212">
        <f t="array" ref="M13">L13/SUMPRODUCT(IF(F$2:F$47=F13,1,0),L$2:L$47)</f>
        <v>5.8643323409030446E-4</v>
      </c>
    </row>
    <row r="14" spans="1:13" ht="15.75" thickBot="1" x14ac:dyDescent="0.3">
      <c r="A14" s="4" t="s">
        <v>2</v>
      </c>
      <c r="B14" s="7" t="s">
        <v>13</v>
      </c>
      <c r="C14" s="5" t="s">
        <v>95</v>
      </c>
      <c r="D14" s="6" t="s">
        <v>10</v>
      </c>
      <c r="E14" s="6" t="str">
        <f t="shared" si="0"/>
        <v>Pesado de Passageiros M3: I : GNL : E3</v>
      </c>
      <c r="F14" s="6" t="str">
        <f t="shared" si="1"/>
        <v>Pesado de Passageiros M3: I : GNL</v>
      </c>
      <c r="G14" s="6" t="s">
        <v>57</v>
      </c>
      <c r="H14" s="6" t="s">
        <v>96</v>
      </c>
      <c r="I14" s="9">
        <f>IF(H14="MJ",INDEX(Tabela1[Energia (MJ/Qtd.)],MATCH(C14,Tabela1[Fuel],0)),IF(H14="GJ",INDEX(Tabela1[Energia (GJ/Qtd.)2],MATCH(C14,Tabela1[Fuel],0)),"XXX"))</f>
        <v>4.8000000000000001E-2</v>
      </c>
      <c r="J14">
        <f t="shared" ref="J14:L15" si="2">J11</f>
        <v>3586812</v>
      </c>
      <c r="K14" s="212">
        <f t="array" ref="K14">J14/SUMPRODUCT(IF(F$2:F$47=F14,1,0),J$2:J$47)</f>
        <v>0.10240912170196149</v>
      </c>
      <c r="L14">
        <f t="shared" si="2"/>
        <v>2188723</v>
      </c>
      <c r="M14" s="212">
        <f t="array" ref="M14">L14/SUMPRODUCT(IF(F$2:F$47=F14,1,0),L$2:L$47)</f>
        <v>5.1386816695405291E-2</v>
      </c>
    </row>
    <row r="15" spans="1:13" ht="15.75" thickBot="1" x14ac:dyDescent="0.3">
      <c r="A15" s="4" t="s">
        <v>2</v>
      </c>
      <c r="B15" s="7" t="s">
        <v>13</v>
      </c>
      <c r="C15" s="5" t="s">
        <v>95</v>
      </c>
      <c r="D15" s="6" t="s">
        <v>5</v>
      </c>
      <c r="E15" s="6" t="str">
        <f t="shared" si="0"/>
        <v>Pesado de Passageiros M3: I : GNL : E5</v>
      </c>
      <c r="F15" s="6" t="str">
        <f t="shared" si="1"/>
        <v>Pesado de Passageiros M3: I : GNL</v>
      </c>
      <c r="G15" s="6" t="s">
        <v>57</v>
      </c>
      <c r="H15" s="6" t="s">
        <v>96</v>
      </c>
      <c r="I15" s="9">
        <f>IF(H15="MJ",INDEX(Tabela1[Energia (MJ/Qtd.)],MATCH(C15,Tabela1[Fuel],0)),IF(H15="GJ",INDEX(Tabela1[Energia (GJ/Qtd.)2],MATCH(C15,Tabela1[Fuel],0)),"XXX"))</f>
        <v>4.8000000000000001E-2</v>
      </c>
      <c r="J15">
        <f t="shared" si="2"/>
        <v>27850717</v>
      </c>
      <c r="K15" s="212">
        <f t="array" ref="K15">J15/SUMPRODUCT(IF(F$2:F$47=F15,1,0),J$2:J$47)</f>
        <v>0.79518175659607704</v>
      </c>
      <c r="L15">
        <f t="shared" si="2"/>
        <v>40379383</v>
      </c>
      <c r="M15" s="212">
        <f t="array" ref="M15">L15/SUMPRODUCT(IF(F$2:F$47=F15,1,0),L$2:L$47)</f>
        <v>0.94802675007050441</v>
      </c>
    </row>
    <row r="16" spans="1:13" ht="15.75" thickBot="1" x14ac:dyDescent="0.3">
      <c r="A16" s="4" t="s">
        <v>2</v>
      </c>
      <c r="B16" s="7" t="s">
        <v>14</v>
      </c>
      <c r="C16" s="5" t="s">
        <v>3</v>
      </c>
      <c r="D16" s="6" t="s">
        <v>8</v>
      </c>
      <c r="E16" s="6" t="str">
        <f t="shared" si="0"/>
        <v>Pesado de Passageiros M3: III : Gasóleo : E0</v>
      </c>
      <c r="F16" s="6" t="str">
        <f t="shared" si="1"/>
        <v>Pesado de Passageiros M3: III : Gasóleo</v>
      </c>
      <c r="G16" s="6" t="s">
        <v>55</v>
      </c>
      <c r="H16" s="6" t="s">
        <v>96</v>
      </c>
      <c r="I16" s="9">
        <f>IF(H16="MJ",INDEX(Tabela1[Energia (MJ/Qtd.)],MATCH(C16,Tabela1[Fuel],0)),IF(H16="GJ",INDEX(Tabela1[Energia (GJ/Qtd.)2],MATCH(C16,Tabela1[Fuel],0)),"XXX"))</f>
        <v>3.5868000000000004E-2</v>
      </c>
      <c r="J16" s="211">
        <v>733213</v>
      </c>
      <c r="K16" s="212">
        <f t="array" ref="K16">J16/SUMPRODUCT(IF(F$2:F$47=F16,1,0),J$2:J$47)</f>
        <v>1.7621967037334759E-2</v>
      </c>
      <c r="L16" s="211">
        <v>686662</v>
      </c>
      <c r="M16" s="212">
        <f t="array" ref="M16">L16/SUMPRODUCT(IF(F$2:F$47=F16,1,0),L$2:L$47)</f>
        <v>1.6238021487811088E-2</v>
      </c>
    </row>
    <row r="17" spans="1:13" ht="15.75" thickBot="1" x14ac:dyDescent="0.3">
      <c r="A17" s="4" t="s">
        <v>2</v>
      </c>
      <c r="B17" s="7" t="s">
        <v>14</v>
      </c>
      <c r="C17" s="5" t="s">
        <v>3</v>
      </c>
      <c r="D17" s="6" t="s">
        <v>7</v>
      </c>
      <c r="E17" s="6" t="str">
        <f t="shared" si="0"/>
        <v>Pesado de Passageiros M3: III : Gasóleo : E1</v>
      </c>
      <c r="F17" s="6" t="str">
        <f t="shared" si="1"/>
        <v>Pesado de Passageiros M3: III : Gasóleo</v>
      </c>
      <c r="G17" s="6" t="s">
        <v>55</v>
      </c>
      <c r="H17" s="6" t="s">
        <v>96</v>
      </c>
      <c r="I17" s="9">
        <f>IF(H17="MJ",INDEX(Tabela1[Energia (MJ/Qtd.)],MATCH(C17,Tabela1[Fuel],0)),IF(H17="GJ",INDEX(Tabela1[Energia (GJ/Qtd.)2],MATCH(C17,Tabela1[Fuel],0)),"XXX"))</f>
        <v>3.5868000000000004E-2</v>
      </c>
      <c r="J17" s="211">
        <v>853275</v>
      </c>
      <c r="K17" s="212">
        <f t="array" ref="K17">J17/SUMPRODUCT(IF(F$2:F$47=F17,1,0),J$2:J$47)</f>
        <v>2.0507524994485663E-2</v>
      </c>
      <c r="L17" s="211">
        <v>753781</v>
      </c>
      <c r="M17" s="212">
        <f t="array" ref="M17">L17/SUMPRODUCT(IF(F$2:F$47=F17,1,0),L$2:L$47)</f>
        <v>1.7825235814860483E-2</v>
      </c>
    </row>
    <row r="18" spans="1:13" ht="15.75" thickBot="1" x14ac:dyDescent="0.3">
      <c r="A18" s="4" t="s">
        <v>2</v>
      </c>
      <c r="B18" s="7" t="s">
        <v>14</v>
      </c>
      <c r="C18" s="5" t="s">
        <v>3</v>
      </c>
      <c r="D18" s="6" t="s">
        <v>9</v>
      </c>
      <c r="E18" s="6" t="str">
        <f t="shared" si="0"/>
        <v>Pesado de Passageiros M3: III : Gasóleo : E2</v>
      </c>
      <c r="F18" s="6" t="str">
        <f t="shared" si="1"/>
        <v>Pesado de Passageiros M3: III : Gasóleo</v>
      </c>
      <c r="G18" s="6" t="s">
        <v>55</v>
      </c>
      <c r="H18" s="6" t="s">
        <v>96</v>
      </c>
      <c r="I18" s="9">
        <f>IF(H18="MJ",INDEX(Tabela1[Energia (MJ/Qtd.)],MATCH(C18,Tabela1[Fuel],0)),IF(H18="GJ",INDEX(Tabela1[Energia (GJ/Qtd.)2],MATCH(C18,Tabela1[Fuel],0)),"XXX"))</f>
        <v>3.5868000000000004E-2</v>
      </c>
      <c r="J18" s="211">
        <v>5291398</v>
      </c>
      <c r="K18" s="212">
        <f t="array" ref="K18">J18/SUMPRODUCT(IF(F$2:F$47=F18,1,0),J$2:J$47)</f>
        <v>0.12717292401719427</v>
      </c>
      <c r="L18" s="211">
        <v>4521945</v>
      </c>
      <c r="M18" s="212">
        <f t="array" ref="M18">L18/SUMPRODUCT(IF(F$2:F$47=F18,1,0),L$2:L$47)</f>
        <v>0.10693389189543023</v>
      </c>
    </row>
    <row r="19" spans="1:13" ht="15.75" thickBot="1" x14ac:dyDescent="0.3">
      <c r="A19" s="4" t="s">
        <v>2</v>
      </c>
      <c r="B19" s="7" t="s">
        <v>14</v>
      </c>
      <c r="C19" s="5" t="s">
        <v>3</v>
      </c>
      <c r="D19" s="6" t="s">
        <v>10</v>
      </c>
      <c r="E19" s="6" t="str">
        <f t="shared" si="0"/>
        <v>Pesado de Passageiros M3: III : Gasóleo : E3</v>
      </c>
      <c r="F19" s="6" t="str">
        <f t="shared" si="1"/>
        <v>Pesado de Passageiros M3: III : Gasóleo</v>
      </c>
      <c r="G19" s="6" t="s">
        <v>55</v>
      </c>
      <c r="H19" s="6" t="s">
        <v>96</v>
      </c>
      <c r="I19" s="9">
        <f>IF(H19="MJ",INDEX(Tabela1[Energia (MJ/Qtd.)],MATCH(C19,Tabela1[Fuel],0)),IF(H19="GJ",INDEX(Tabela1[Energia (GJ/Qtd.)2],MATCH(C19,Tabela1[Fuel],0)),"XXX"))</f>
        <v>3.5868000000000004E-2</v>
      </c>
      <c r="J19" s="211">
        <v>10495279</v>
      </c>
      <c r="K19" s="212">
        <f t="array" ref="K19">J19/SUMPRODUCT(IF(F$2:F$47=F19,1,0),J$2:J$47)</f>
        <v>0.25224247331352784</v>
      </c>
      <c r="L19" s="211">
        <v>10301096</v>
      </c>
      <c r="M19" s="212">
        <f t="array" ref="M19">L19/SUMPRODUCT(IF(F$2:F$47=F19,1,0),L$2:L$47)</f>
        <v>0.24359789561094811</v>
      </c>
    </row>
    <row r="20" spans="1:13" ht="15.75" thickBot="1" x14ac:dyDescent="0.3">
      <c r="A20" s="4" t="s">
        <v>2</v>
      </c>
      <c r="B20" s="7" t="s">
        <v>14</v>
      </c>
      <c r="C20" s="5" t="s">
        <v>3</v>
      </c>
      <c r="D20" s="6" t="s">
        <v>4</v>
      </c>
      <c r="E20" s="6" t="str">
        <f t="shared" si="0"/>
        <v>Pesado de Passageiros M3: III : Gasóleo : E4</v>
      </c>
      <c r="F20" s="6" t="str">
        <f t="shared" si="1"/>
        <v>Pesado de Passageiros M3: III : Gasóleo</v>
      </c>
      <c r="G20" s="6" t="s">
        <v>55</v>
      </c>
      <c r="H20" s="6" t="s">
        <v>96</v>
      </c>
      <c r="I20" s="9">
        <f>IF(H20="MJ",INDEX(Tabela1[Energia (MJ/Qtd.)],MATCH(C20,Tabela1[Fuel],0)),IF(H20="GJ",INDEX(Tabela1[Energia (GJ/Qtd.)2],MATCH(C20,Tabela1[Fuel],0)),"XXX"))</f>
        <v>3.5868000000000004E-2</v>
      </c>
      <c r="J20" s="211">
        <v>9209405</v>
      </c>
      <c r="K20" s="212">
        <f t="array" ref="K20">J20/SUMPRODUCT(IF(F$2:F$47=F20,1,0),J$2:J$47)</f>
        <v>0.2213379077341317</v>
      </c>
      <c r="L20" s="211">
        <v>9241964</v>
      </c>
      <c r="M20" s="212">
        <f t="array" ref="M20">L20/SUMPRODUCT(IF(F$2:F$47=F20,1,0),L$2:L$47)</f>
        <v>0.2185517911600999</v>
      </c>
    </row>
    <row r="21" spans="1:13" ht="15.75" thickBot="1" x14ac:dyDescent="0.3">
      <c r="A21" s="4" t="s">
        <v>2</v>
      </c>
      <c r="B21" s="7" t="s">
        <v>14</v>
      </c>
      <c r="C21" s="5" t="s">
        <v>3</v>
      </c>
      <c r="D21" s="6" t="s">
        <v>5</v>
      </c>
      <c r="E21" s="6" t="str">
        <f t="shared" si="0"/>
        <v>Pesado de Passageiros M3: III : Gasóleo : E5</v>
      </c>
      <c r="F21" s="6" t="str">
        <f t="shared" si="1"/>
        <v>Pesado de Passageiros M3: III : Gasóleo</v>
      </c>
      <c r="G21" s="6" t="s">
        <v>55</v>
      </c>
      <c r="H21" s="6" t="s">
        <v>96</v>
      </c>
      <c r="I21" s="9">
        <f>IF(H21="MJ",INDEX(Tabela1[Energia (MJ/Qtd.)],MATCH(C21,Tabela1[Fuel],0)),IF(H21="GJ",INDEX(Tabela1[Energia (GJ/Qtd.)2],MATCH(C21,Tabela1[Fuel],0)),"XXX"))</f>
        <v>3.5868000000000004E-2</v>
      </c>
      <c r="J21" s="211">
        <v>6505741</v>
      </c>
      <c r="K21" s="212">
        <f t="array" ref="K21">J21/SUMPRODUCT(IF(F$2:F$47=F21,1,0),J$2:J$47)</f>
        <v>0.15635832078187001</v>
      </c>
      <c r="L21" s="211">
        <v>7375170</v>
      </c>
      <c r="M21" s="212">
        <f t="array" ref="M21">L21/SUMPRODUCT(IF(F$2:F$47=F21,1,0),L$2:L$47)</f>
        <v>0.17440628567804786</v>
      </c>
    </row>
    <row r="22" spans="1:13" ht="15.75" thickBot="1" x14ac:dyDescent="0.3">
      <c r="A22" s="4" t="s">
        <v>2</v>
      </c>
      <c r="B22" s="7" t="s">
        <v>14</v>
      </c>
      <c r="C22" s="5" t="s">
        <v>3</v>
      </c>
      <c r="D22" s="6" t="s">
        <v>6</v>
      </c>
      <c r="E22" s="6" t="str">
        <f t="shared" si="0"/>
        <v>Pesado de Passageiros M3: III : Gasóleo : E6</v>
      </c>
      <c r="F22" s="6" t="str">
        <f t="shared" si="1"/>
        <v>Pesado de Passageiros M3: III : Gasóleo</v>
      </c>
      <c r="G22" s="6" t="s">
        <v>55</v>
      </c>
      <c r="H22" s="6" t="s">
        <v>96</v>
      </c>
      <c r="I22" s="9">
        <f>IF(H22="MJ",INDEX(Tabela1[Energia (MJ/Qtd.)],MATCH(C22,Tabela1[Fuel],0)),IF(H22="GJ",INDEX(Tabela1[Energia (GJ/Qtd.)2],MATCH(C22,Tabela1[Fuel],0)),"XXX"))</f>
        <v>3.5868000000000004E-2</v>
      </c>
      <c r="J22" s="211">
        <v>7081252</v>
      </c>
      <c r="K22" s="212">
        <f t="array" ref="K22">J22/SUMPRODUCT(IF(F$2:F$47=F22,1,0),J$2:J$47)</f>
        <v>0.17019009391140205</v>
      </c>
      <c r="L22" s="211">
        <v>7313304</v>
      </c>
      <c r="M22" s="212">
        <f t="array" ref="M22">L22/SUMPRODUCT(IF(F$2:F$47=F22,1,0),L$2:L$47)</f>
        <v>0.17294329305960543</v>
      </c>
    </row>
    <row r="23" spans="1:13" ht="15.75" thickBot="1" x14ac:dyDescent="0.3">
      <c r="A23" s="4" t="s">
        <v>2</v>
      </c>
      <c r="B23" s="7" t="s">
        <v>14</v>
      </c>
      <c r="C23" s="5" t="s">
        <v>3</v>
      </c>
      <c r="D23" s="6" t="s">
        <v>81</v>
      </c>
      <c r="E23" s="6" t="str">
        <f t="shared" si="0"/>
        <v>Pesado de Passageiros M3: III : Gasóleo : E6 D/E E7</v>
      </c>
      <c r="F23" s="6" t="str">
        <f t="shared" si="1"/>
        <v>Pesado de Passageiros M3: III : Gasóleo</v>
      </c>
      <c r="G23" s="6" t="s">
        <v>55</v>
      </c>
      <c r="H23" s="6" t="s">
        <v>96</v>
      </c>
      <c r="I23" s="9">
        <f>IF(H23="MJ",INDEX(Tabela1[Energia (MJ/Qtd.)],MATCH(C23,Tabela1[Fuel],0)),IF(H23="GJ",INDEX(Tabela1[Energia (GJ/Qtd.)2],MATCH(C23,Tabela1[Fuel],0)),"XXX"))</f>
        <v>3.5868000000000004E-2</v>
      </c>
      <c r="J23" s="214">
        <v>1438334.6</v>
      </c>
      <c r="K23" s="212">
        <f t="array" ref="K23">J23/SUMPRODUCT(IF(F$2:F$47=F23,1,0),J$2:J$47)</f>
        <v>3.4568788210053665E-2</v>
      </c>
      <c r="L23" s="214">
        <v>2093372.7</v>
      </c>
      <c r="M23" s="212">
        <f t="array" ref="M23">L23/SUMPRODUCT(IF(F$2:F$47=F23,1,0),L$2:L$47)</f>
        <v>4.9503585293196817E-2</v>
      </c>
    </row>
    <row r="24" spans="1:13" ht="15.75" thickBot="1" x14ac:dyDescent="0.3">
      <c r="A24" s="4" t="s">
        <v>46</v>
      </c>
      <c r="B24" s="7" t="s">
        <v>79</v>
      </c>
      <c r="C24" s="5" t="s">
        <v>3</v>
      </c>
      <c r="D24" s="6" t="s">
        <v>8</v>
      </c>
      <c r="E24" s="6" t="str">
        <f t="shared" ref="E24:E55" si="3">A24&amp;": "&amp;B24&amp;" : "&amp;C24&amp;" : "&amp;D24</f>
        <v>Pesado de Mercadorias N3: &lt;20 t : Gasóleo : E0</v>
      </c>
      <c r="F24" s="6" t="str">
        <f t="shared" ref="F24:F55" si="4">A24&amp;": "&amp;B24&amp;" : "&amp;C24</f>
        <v>Pesado de Mercadorias N3: &lt;20 t : Gasóleo</v>
      </c>
      <c r="G24" s="6" t="s">
        <v>55</v>
      </c>
      <c r="H24" s="6" t="s">
        <v>96</v>
      </c>
      <c r="I24" s="9">
        <f>IF(H24="MJ",INDEX(Tabela1[Energia (MJ/Qtd.)],MATCH(C24,Tabela1[Fuel],0)),IF(H24="GJ",INDEX(Tabela1[Energia (GJ/Qtd.)2],MATCH(C24,Tabela1[Fuel],0)),"XXX"))</f>
        <v>3.5868000000000004E-2</v>
      </c>
      <c r="J24" s="211">
        <v>81314715</v>
      </c>
      <c r="K24" s="212">
        <f t="array" ref="K24">J24/SUMPRODUCT(IF(F$2:F$47=F24,1,0),J$2:J$47)</f>
        <v>2.2169495489619759E-2</v>
      </c>
      <c r="L24" s="211">
        <v>61879049</v>
      </c>
      <c r="M24" s="212">
        <f t="array" ref="M24">L24/SUMPRODUCT(IF(F$2:F$47=F24,1,0),L$2:L$47)</f>
        <v>1.691210367641837E-2</v>
      </c>
    </row>
    <row r="25" spans="1:13" ht="15.75" thickBot="1" x14ac:dyDescent="0.3">
      <c r="A25" s="4" t="s">
        <v>46</v>
      </c>
      <c r="B25" s="7" t="s">
        <v>79</v>
      </c>
      <c r="C25" s="5" t="s">
        <v>3</v>
      </c>
      <c r="D25" s="6" t="s">
        <v>7</v>
      </c>
      <c r="E25" s="6" t="str">
        <f t="shared" si="3"/>
        <v>Pesado de Mercadorias N3: &lt;20 t : Gasóleo : E1</v>
      </c>
      <c r="F25" s="6" t="str">
        <f t="shared" si="4"/>
        <v>Pesado de Mercadorias N3: &lt;20 t : Gasóleo</v>
      </c>
      <c r="G25" s="6" t="s">
        <v>55</v>
      </c>
      <c r="H25" s="6" t="s">
        <v>96</v>
      </c>
      <c r="I25" s="9">
        <f>IF(H25="MJ",INDEX(Tabela1[Energia (MJ/Qtd.)],MATCH(C25,Tabela1[Fuel],0)),IF(H25="GJ",INDEX(Tabela1[Energia (GJ/Qtd.)2],MATCH(C25,Tabela1[Fuel],0)),"XXX"))</f>
        <v>3.5868000000000004E-2</v>
      </c>
      <c r="J25" s="211">
        <v>39611378</v>
      </c>
      <c r="K25" s="212">
        <f t="array" ref="K25">J25/SUMPRODUCT(IF(F$2:F$47=F25,1,0),J$2:J$47)</f>
        <v>1.0799573802953419E-2</v>
      </c>
      <c r="L25" s="211">
        <v>29568487</v>
      </c>
      <c r="M25" s="212">
        <f t="array" ref="M25">L25/SUMPRODUCT(IF(F$2:F$47=F25,1,0),L$2:L$47)</f>
        <v>8.0813348908905947E-3</v>
      </c>
    </row>
    <row r="26" spans="1:13" ht="15.75" thickBot="1" x14ac:dyDescent="0.3">
      <c r="A26" s="4" t="s">
        <v>46</v>
      </c>
      <c r="B26" s="7" t="s">
        <v>79</v>
      </c>
      <c r="C26" s="5" t="s">
        <v>3</v>
      </c>
      <c r="D26" s="6" t="s">
        <v>9</v>
      </c>
      <c r="E26" s="6" t="str">
        <f t="shared" si="3"/>
        <v>Pesado de Mercadorias N3: &lt;20 t : Gasóleo : E2</v>
      </c>
      <c r="F26" s="6" t="str">
        <f t="shared" si="4"/>
        <v>Pesado de Mercadorias N3: &lt;20 t : Gasóleo</v>
      </c>
      <c r="G26" s="6" t="s">
        <v>55</v>
      </c>
      <c r="H26" s="6" t="s">
        <v>96</v>
      </c>
      <c r="I26" s="9">
        <f>IF(H26="MJ",INDEX(Tabela1[Energia (MJ/Qtd.)],MATCH(C26,Tabela1[Fuel],0)),IF(H26="GJ",INDEX(Tabela1[Energia (GJ/Qtd.)2],MATCH(C26,Tabela1[Fuel],0)),"XXX"))</f>
        <v>3.5868000000000004E-2</v>
      </c>
      <c r="J26" s="211">
        <v>191327392</v>
      </c>
      <c r="K26" s="212">
        <f t="array" ref="K26">J26/SUMPRODUCT(IF(F$2:F$47=F26,1,0),J$2:J$47)</f>
        <v>5.2163150962094763E-2</v>
      </c>
      <c r="L26" s="211">
        <v>147058999</v>
      </c>
      <c r="M26" s="212">
        <f t="array" ref="M26">L26/SUMPRODUCT(IF(F$2:F$47=F26,1,0),L$2:L$47)</f>
        <v>4.0192554310883248E-2</v>
      </c>
    </row>
    <row r="27" spans="1:13" ht="15.75" thickBot="1" x14ac:dyDescent="0.3">
      <c r="A27" s="4" t="s">
        <v>46</v>
      </c>
      <c r="B27" s="7" t="s">
        <v>79</v>
      </c>
      <c r="C27" s="5" t="s">
        <v>3</v>
      </c>
      <c r="D27" s="6" t="s">
        <v>10</v>
      </c>
      <c r="E27" s="6" t="str">
        <f t="shared" si="3"/>
        <v>Pesado de Mercadorias N3: &lt;20 t : Gasóleo : E3</v>
      </c>
      <c r="F27" s="6" t="str">
        <f t="shared" si="4"/>
        <v>Pesado de Mercadorias N3: &lt;20 t : Gasóleo</v>
      </c>
      <c r="G27" s="6" t="s">
        <v>55</v>
      </c>
      <c r="H27" s="6" t="s">
        <v>96</v>
      </c>
      <c r="I27" s="9">
        <f>IF(H27="MJ",INDEX(Tabela1[Energia (MJ/Qtd.)],MATCH(C27,Tabela1[Fuel],0)),IF(H27="GJ",INDEX(Tabela1[Energia (GJ/Qtd.)2],MATCH(C27,Tabela1[Fuel],0)),"XXX"))</f>
        <v>3.5868000000000004E-2</v>
      </c>
      <c r="J27" s="211">
        <v>513137433</v>
      </c>
      <c r="K27" s="212">
        <f t="array" ref="K27">J27/SUMPRODUCT(IF(F$2:F$47=F27,1,0),J$2:J$47)</f>
        <v>0.13990085320287432</v>
      </c>
      <c r="L27" s="211">
        <v>408230116</v>
      </c>
      <c r="M27" s="212">
        <f t="array" ref="M27">L27/SUMPRODUCT(IF(F$2:F$47=F27,1,0),L$2:L$47)</f>
        <v>0.11157298241006093</v>
      </c>
    </row>
    <row r="28" spans="1:13" ht="15.75" thickBot="1" x14ac:dyDescent="0.3">
      <c r="A28" s="4" t="s">
        <v>46</v>
      </c>
      <c r="B28" s="7" t="s">
        <v>79</v>
      </c>
      <c r="C28" s="5" t="s">
        <v>3</v>
      </c>
      <c r="D28" s="6" t="s">
        <v>4</v>
      </c>
      <c r="E28" s="6" t="str">
        <f t="shared" si="3"/>
        <v>Pesado de Mercadorias N3: &lt;20 t : Gasóleo : E4</v>
      </c>
      <c r="F28" s="6" t="str">
        <f t="shared" si="4"/>
        <v>Pesado de Mercadorias N3: &lt;20 t : Gasóleo</v>
      </c>
      <c r="G28" s="6" t="s">
        <v>55</v>
      </c>
      <c r="H28" s="6" t="s">
        <v>96</v>
      </c>
      <c r="I28" s="9">
        <f>IF(H28="MJ",INDEX(Tabela1[Energia (MJ/Qtd.)],MATCH(C28,Tabela1[Fuel],0)),IF(H28="GJ",INDEX(Tabela1[Energia (GJ/Qtd.)2],MATCH(C28,Tabela1[Fuel],0)),"XXX"))</f>
        <v>3.5868000000000004E-2</v>
      </c>
      <c r="J28" s="211">
        <v>589615075</v>
      </c>
      <c r="K28" s="212">
        <f t="array" ref="K28">J28/SUMPRODUCT(IF(F$2:F$47=F28,1,0),J$2:J$47)</f>
        <v>0.16075157793794537</v>
      </c>
      <c r="L28" s="211">
        <v>490601986</v>
      </c>
      <c r="M28" s="212">
        <f t="array" ref="M28">L28/SUMPRODUCT(IF(F$2:F$47=F28,1,0),L$2:L$47)</f>
        <v>0.13408595938649209</v>
      </c>
    </row>
    <row r="29" spans="1:13" ht="15.75" thickBot="1" x14ac:dyDescent="0.3">
      <c r="A29" s="4" t="s">
        <v>46</v>
      </c>
      <c r="B29" s="7" t="s">
        <v>79</v>
      </c>
      <c r="C29" s="5" t="s">
        <v>3</v>
      </c>
      <c r="D29" s="6" t="s">
        <v>5</v>
      </c>
      <c r="E29" s="6" t="str">
        <f t="shared" si="3"/>
        <v>Pesado de Mercadorias N3: &lt;20 t : Gasóleo : E5</v>
      </c>
      <c r="F29" s="6" t="str">
        <f t="shared" si="4"/>
        <v>Pesado de Mercadorias N3: &lt;20 t : Gasóleo</v>
      </c>
      <c r="G29" s="6" t="s">
        <v>55</v>
      </c>
      <c r="H29" s="6" t="s">
        <v>96</v>
      </c>
      <c r="I29" s="9">
        <f>IF(H29="MJ",INDEX(Tabela1[Energia (MJ/Qtd.)],MATCH(C29,Tabela1[Fuel],0)),IF(H29="GJ",INDEX(Tabela1[Energia (GJ/Qtd.)2],MATCH(C29,Tabela1[Fuel],0)),"XXX"))</f>
        <v>3.5868000000000004E-2</v>
      </c>
      <c r="J29" s="211">
        <v>692362239</v>
      </c>
      <c r="K29" s="212">
        <f t="array" ref="K29">J29/SUMPRODUCT(IF(F$2:F$47=F29,1,0),J$2:J$47)</f>
        <v>0.1887643772064323</v>
      </c>
      <c r="L29" s="211">
        <v>603190109</v>
      </c>
      <c r="M29" s="212">
        <f t="array" ref="M29">L29/SUMPRODUCT(IF(F$2:F$47=F29,1,0),L$2:L$47)</f>
        <v>0.16485731155949243</v>
      </c>
    </row>
    <row r="30" spans="1:13" ht="15.75" thickBot="1" x14ac:dyDescent="0.3">
      <c r="A30" s="4" t="s">
        <v>46</v>
      </c>
      <c r="B30" s="7" t="s">
        <v>79</v>
      </c>
      <c r="C30" s="5" t="s">
        <v>3</v>
      </c>
      <c r="D30" s="6" t="s">
        <v>6</v>
      </c>
      <c r="E30" s="6" t="str">
        <f t="shared" si="3"/>
        <v>Pesado de Mercadorias N3: &lt;20 t : Gasóleo : E6</v>
      </c>
      <c r="F30" s="6" t="str">
        <f t="shared" si="4"/>
        <v>Pesado de Mercadorias N3: &lt;20 t : Gasóleo</v>
      </c>
      <c r="G30" s="6" t="s">
        <v>55</v>
      </c>
      <c r="H30" s="6" t="s">
        <v>96</v>
      </c>
      <c r="I30" s="9">
        <f>IF(H30="MJ",INDEX(Tabela1[Energia (MJ/Qtd.)],MATCH(C30,Tabela1[Fuel],0)),IF(H30="GJ",INDEX(Tabela1[Energia (GJ/Qtd.)2],MATCH(C30,Tabela1[Fuel],0)),"XXX"))</f>
        <v>3.5868000000000004E-2</v>
      </c>
      <c r="J30" s="211">
        <v>1316817327</v>
      </c>
      <c r="K30" s="212">
        <f t="array" ref="K30">J30/SUMPRODUCT(IF(F$2:F$47=F30,1,0),J$2:J$47)</f>
        <v>0.35901467270197834</v>
      </c>
      <c r="L30" s="211">
        <v>1239629206</v>
      </c>
      <c r="M30" s="212">
        <f t="array" ref="M30">L30/SUMPRODUCT(IF(F$2:F$47=F30,1,0),L$2:L$47)</f>
        <v>0.33880187221668817</v>
      </c>
    </row>
    <row r="31" spans="1:13" ht="15.75" thickBot="1" x14ac:dyDescent="0.3">
      <c r="A31" s="4" t="s">
        <v>46</v>
      </c>
      <c r="B31" s="7" t="s">
        <v>79</v>
      </c>
      <c r="C31" s="5" t="s">
        <v>3</v>
      </c>
      <c r="D31" s="6" t="s">
        <v>81</v>
      </c>
      <c r="E31" s="6" t="str">
        <f t="shared" si="3"/>
        <v>Pesado de Mercadorias N3: &lt;20 t : Gasóleo : E6 D/E E7</v>
      </c>
      <c r="F31" s="6" t="str">
        <f t="shared" si="4"/>
        <v>Pesado de Mercadorias N3: &lt;20 t : Gasóleo</v>
      </c>
      <c r="G31" s="6" t="s">
        <v>55</v>
      </c>
      <c r="H31" s="6" t="s">
        <v>96</v>
      </c>
      <c r="I31" s="9">
        <f>IF(H31="MJ",INDEX(Tabela1[Energia (MJ/Qtd.)],MATCH(C31,Tabela1[Fuel],0)),IF(H31="GJ",INDEX(Tabela1[Energia (GJ/Qtd.)2],MATCH(C31,Tabela1[Fuel],0)),"XXX"))</f>
        <v>3.5868000000000004E-2</v>
      </c>
      <c r="J31" s="211">
        <v>243679370</v>
      </c>
      <c r="K31" s="212">
        <f t="array" ref="K31">J31/SUMPRODUCT(IF(F$2:F$47=F31,1,0),J$2:J$47)</f>
        <v>6.6436298696101737E-2</v>
      </c>
      <c r="L31" s="211">
        <v>678703783</v>
      </c>
      <c r="M31" s="212">
        <f t="array" ref="M31">L31/SUMPRODUCT(IF(F$2:F$47=F31,1,0),L$2:L$47)</f>
        <v>0.18549588154907418</v>
      </c>
    </row>
    <row r="32" spans="1:13" ht="15.75" thickBot="1" x14ac:dyDescent="0.3">
      <c r="A32" s="4" t="s">
        <v>46</v>
      </c>
      <c r="B32" s="7" t="s">
        <v>78</v>
      </c>
      <c r="C32" s="5" t="s">
        <v>3</v>
      </c>
      <c r="D32" s="6" t="s">
        <v>8</v>
      </c>
      <c r="E32" s="6" t="str">
        <f t="shared" si="3"/>
        <v>Pesado de Mercadorias N3: 20-28 t : Gasóleo : E0</v>
      </c>
      <c r="F32" s="6" t="str">
        <f t="shared" si="4"/>
        <v>Pesado de Mercadorias N3: 20-28 t : Gasóleo</v>
      </c>
      <c r="G32" s="6" t="s">
        <v>55</v>
      </c>
      <c r="H32" s="6" t="s">
        <v>96</v>
      </c>
      <c r="I32" s="9">
        <f>IF(H32="MJ",INDEX(Tabela1[Energia (MJ/Qtd.)],MATCH(C32,Tabela1[Fuel],0)),IF(H32="GJ",INDEX(Tabela1[Energia (GJ/Qtd.)2],MATCH(C32,Tabela1[Fuel],0)),"XXX"))</f>
        <v>3.5868000000000004E-2</v>
      </c>
      <c r="J32" s="211">
        <v>20317766</v>
      </c>
      <c r="K32" s="212">
        <f t="array" ref="K32">J32/SUMPRODUCT(IF(F$2:F$47=F32,1,0),J$2:J$47)</f>
        <v>7.4717484359317132E-2</v>
      </c>
      <c r="L32" s="211">
        <v>13939485</v>
      </c>
      <c r="M32" s="212">
        <f t="array" ref="M32">L32/SUMPRODUCT(IF(F$2:F$47=F32,1,0),L$2:L$47)</f>
        <v>5.3388241606590135E-2</v>
      </c>
    </row>
    <row r="33" spans="1:13" ht="15.75" thickBot="1" x14ac:dyDescent="0.3">
      <c r="A33" s="4" t="s">
        <v>46</v>
      </c>
      <c r="B33" s="7" t="s">
        <v>78</v>
      </c>
      <c r="C33" s="5" t="s">
        <v>3</v>
      </c>
      <c r="D33" s="6" t="s">
        <v>7</v>
      </c>
      <c r="E33" s="6" t="str">
        <f t="shared" si="3"/>
        <v>Pesado de Mercadorias N3: 20-28 t : Gasóleo : E1</v>
      </c>
      <c r="F33" s="6" t="str">
        <f t="shared" si="4"/>
        <v>Pesado de Mercadorias N3: 20-28 t : Gasóleo</v>
      </c>
      <c r="G33" s="6" t="s">
        <v>55</v>
      </c>
      <c r="H33" s="6" t="s">
        <v>96</v>
      </c>
      <c r="I33" s="9">
        <f>IF(H33="MJ",INDEX(Tabela1[Energia (MJ/Qtd.)],MATCH(C33,Tabela1[Fuel],0)),IF(H33="GJ",INDEX(Tabela1[Energia (GJ/Qtd.)2],MATCH(C33,Tabela1[Fuel],0)),"XXX"))</f>
        <v>3.5868000000000004E-2</v>
      </c>
      <c r="J33" s="211">
        <v>11134594</v>
      </c>
      <c r="K33" s="212">
        <f t="array" ref="K33">J33/SUMPRODUCT(IF(F$2:F$47=F33,1,0),J$2:J$47)</f>
        <v>4.0946866552274808E-2</v>
      </c>
      <c r="L33" s="211">
        <v>8503885</v>
      </c>
      <c r="M33" s="212">
        <f t="array" ref="M33">L33/SUMPRODUCT(IF(F$2:F$47=F33,1,0),L$2:L$47)</f>
        <v>3.2569888125325845E-2</v>
      </c>
    </row>
    <row r="34" spans="1:13" ht="15.75" thickBot="1" x14ac:dyDescent="0.3">
      <c r="A34" s="4" t="s">
        <v>46</v>
      </c>
      <c r="B34" s="7" t="s">
        <v>78</v>
      </c>
      <c r="C34" s="5" t="s">
        <v>3</v>
      </c>
      <c r="D34" s="6" t="s">
        <v>9</v>
      </c>
      <c r="E34" s="6" t="str">
        <f t="shared" si="3"/>
        <v>Pesado de Mercadorias N3: 20-28 t : Gasóleo : E2</v>
      </c>
      <c r="F34" s="6" t="str">
        <f t="shared" si="4"/>
        <v>Pesado de Mercadorias N3: 20-28 t : Gasóleo</v>
      </c>
      <c r="G34" s="6" t="s">
        <v>55</v>
      </c>
      <c r="H34" s="6" t="s">
        <v>96</v>
      </c>
      <c r="I34" s="9">
        <f>IF(H34="MJ",INDEX(Tabela1[Energia (MJ/Qtd.)],MATCH(C34,Tabela1[Fuel],0)),IF(H34="GJ",INDEX(Tabela1[Energia (GJ/Qtd.)2],MATCH(C34,Tabela1[Fuel],0)),"XXX"))</f>
        <v>3.5868000000000004E-2</v>
      </c>
      <c r="J34" s="211">
        <v>53133977</v>
      </c>
      <c r="K34" s="212">
        <f t="array" ref="K34">J34/SUMPRODUCT(IF(F$2:F$47=F34,1,0),J$2:J$47)</f>
        <v>0.19539732347768038</v>
      </c>
      <c r="L34" s="211">
        <v>42983398</v>
      </c>
      <c r="M34" s="212">
        <f t="array" ref="M34">L34/SUMPRODUCT(IF(F$2:F$47=F34,1,0),L$2:L$47)</f>
        <v>0.16462645768450004</v>
      </c>
    </row>
    <row r="35" spans="1:13" ht="15.75" thickBot="1" x14ac:dyDescent="0.3">
      <c r="A35" s="4" t="s">
        <v>46</v>
      </c>
      <c r="B35" s="7" t="s">
        <v>78</v>
      </c>
      <c r="C35" s="5" t="s">
        <v>3</v>
      </c>
      <c r="D35" s="6" t="s">
        <v>10</v>
      </c>
      <c r="E35" s="6" t="str">
        <f t="shared" si="3"/>
        <v>Pesado de Mercadorias N3: 20-28 t : Gasóleo : E3</v>
      </c>
      <c r="F35" s="6" t="str">
        <f t="shared" si="4"/>
        <v>Pesado de Mercadorias N3: 20-28 t : Gasóleo</v>
      </c>
      <c r="G35" s="6" t="s">
        <v>55</v>
      </c>
      <c r="H35" s="6" t="s">
        <v>96</v>
      </c>
      <c r="I35" s="9">
        <f>IF(H35="MJ",INDEX(Tabela1[Energia (MJ/Qtd.)],MATCH(C35,Tabela1[Fuel],0)),IF(H35="GJ",INDEX(Tabela1[Energia (GJ/Qtd.)2],MATCH(C35,Tabela1[Fuel],0)),"XXX"))</f>
        <v>3.5868000000000004E-2</v>
      </c>
      <c r="J35" s="211">
        <v>69146330</v>
      </c>
      <c r="K35" s="212">
        <f t="array" ref="K35">J35/SUMPRODUCT(IF(F$2:F$47=F35,1,0),J$2:J$47)</f>
        <v>0.25428188464613583</v>
      </c>
      <c r="L35" s="211">
        <v>61563998</v>
      </c>
      <c r="M35" s="212">
        <f t="array" ref="M35">L35/SUMPRODUCT(IF(F$2:F$47=F35,1,0),L$2:L$47)</f>
        <v>0.23579017442119501</v>
      </c>
    </row>
    <row r="36" spans="1:13" ht="15.75" thickBot="1" x14ac:dyDescent="0.3">
      <c r="A36" s="4" t="s">
        <v>46</v>
      </c>
      <c r="B36" s="7" t="s">
        <v>78</v>
      </c>
      <c r="C36" s="5" t="s">
        <v>3</v>
      </c>
      <c r="D36" s="6" t="s">
        <v>4</v>
      </c>
      <c r="E36" s="6" t="str">
        <f t="shared" si="3"/>
        <v>Pesado de Mercadorias N3: 20-28 t : Gasóleo : E4</v>
      </c>
      <c r="F36" s="6" t="str">
        <f t="shared" si="4"/>
        <v>Pesado de Mercadorias N3: 20-28 t : Gasóleo</v>
      </c>
      <c r="G36" s="6" t="s">
        <v>55</v>
      </c>
      <c r="H36" s="6" t="s">
        <v>96</v>
      </c>
      <c r="I36" s="9">
        <f>IF(H36="MJ",INDEX(Tabela1[Energia (MJ/Qtd.)],MATCH(C36,Tabela1[Fuel],0)),IF(H36="GJ",INDEX(Tabela1[Energia (GJ/Qtd.)2],MATCH(C36,Tabela1[Fuel],0)),"XXX"))</f>
        <v>3.5868000000000004E-2</v>
      </c>
      <c r="J36" s="211">
        <v>46350961</v>
      </c>
      <c r="K36" s="212">
        <f t="array" ref="K36">J36/SUMPRODUCT(IF(F$2:F$47=F36,1,0),J$2:J$47)</f>
        <v>0.17045314940416276</v>
      </c>
      <c r="L36" s="211">
        <v>44025526</v>
      </c>
      <c r="M36" s="212">
        <f t="array" ref="M36">L36/SUMPRODUCT(IF(F$2:F$47=F36,1,0),L$2:L$47)</f>
        <v>0.16861780897538292</v>
      </c>
    </row>
    <row r="37" spans="1:13" ht="15.75" thickBot="1" x14ac:dyDescent="0.3">
      <c r="A37" s="4" t="s">
        <v>46</v>
      </c>
      <c r="B37" s="7" t="s">
        <v>78</v>
      </c>
      <c r="C37" s="5" t="s">
        <v>3</v>
      </c>
      <c r="D37" s="6" t="s">
        <v>5</v>
      </c>
      <c r="E37" s="6" t="str">
        <f t="shared" si="3"/>
        <v>Pesado de Mercadorias N3: 20-28 t : Gasóleo : E5</v>
      </c>
      <c r="F37" s="6" t="str">
        <f t="shared" si="4"/>
        <v>Pesado de Mercadorias N3: 20-28 t : Gasóleo</v>
      </c>
      <c r="G37" s="6" t="s">
        <v>55</v>
      </c>
      <c r="H37" s="6" t="s">
        <v>96</v>
      </c>
      <c r="I37" s="9">
        <f>IF(H37="MJ",INDEX(Tabela1[Energia (MJ/Qtd.)],MATCH(C37,Tabela1[Fuel],0)),IF(H37="GJ",INDEX(Tabela1[Energia (GJ/Qtd.)2],MATCH(C37,Tabela1[Fuel],0)),"XXX"))</f>
        <v>3.5868000000000004E-2</v>
      </c>
      <c r="J37" s="211">
        <v>39057870</v>
      </c>
      <c r="K37" s="212">
        <f t="array" ref="K37">J37/SUMPRODUCT(IF(F$2:F$47=F37,1,0),J$2:J$47)</f>
        <v>0.1436332021361621</v>
      </c>
      <c r="L37" s="211">
        <v>39513607</v>
      </c>
      <c r="M37" s="212">
        <f t="array" ref="M37">L37/SUMPRODUCT(IF(F$2:F$47=F37,1,0),L$2:L$47)</f>
        <v>0.15133715465555944</v>
      </c>
    </row>
    <row r="38" spans="1:13" ht="15.75" thickBot="1" x14ac:dyDescent="0.3">
      <c r="A38" s="4" t="s">
        <v>46</v>
      </c>
      <c r="B38" s="7" t="s">
        <v>78</v>
      </c>
      <c r="C38" s="5" t="s">
        <v>3</v>
      </c>
      <c r="D38" s="6" t="s">
        <v>6</v>
      </c>
      <c r="E38" s="6" t="str">
        <f t="shared" si="3"/>
        <v>Pesado de Mercadorias N3: 20-28 t : Gasóleo : E6</v>
      </c>
      <c r="F38" s="6" t="str">
        <f t="shared" si="4"/>
        <v>Pesado de Mercadorias N3: 20-28 t : Gasóleo</v>
      </c>
      <c r="G38" s="6" t="s">
        <v>55</v>
      </c>
      <c r="H38" s="6" t="s">
        <v>96</v>
      </c>
      <c r="I38" s="9">
        <f>IF(H38="MJ",INDEX(Tabela1[Energia (MJ/Qtd.)],MATCH(C38,Tabela1[Fuel],0)),IF(H38="GJ",INDEX(Tabela1[Energia (GJ/Qtd.)2],MATCH(C38,Tabela1[Fuel],0)),"XXX"))</f>
        <v>3.5868000000000004E-2</v>
      </c>
      <c r="J38" s="211">
        <v>26776048</v>
      </c>
      <c r="K38" s="212">
        <f t="array" ref="K38">J38/SUMPRODUCT(IF(F$2:F$47=F38,1,0),J$2:J$47)</f>
        <v>9.846746673056106E-2</v>
      </c>
      <c r="L38" s="211">
        <v>34788917</v>
      </c>
      <c r="M38" s="212">
        <f t="array" ref="M38">L38/SUMPRODUCT(IF(F$2:F$47=F38,1,0),L$2:L$47)</f>
        <v>0.13324158719117749</v>
      </c>
    </row>
    <row r="39" spans="1:13" ht="15.75" thickBot="1" x14ac:dyDescent="0.3">
      <c r="A39" s="4" t="s">
        <v>46</v>
      </c>
      <c r="B39" s="7" t="s">
        <v>78</v>
      </c>
      <c r="C39" s="5" t="s">
        <v>3</v>
      </c>
      <c r="D39" s="6" t="s">
        <v>81</v>
      </c>
      <c r="E39" s="6" t="str">
        <f t="shared" si="3"/>
        <v>Pesado de Mercadorias N3: 20-28 t : Gasóleo : E6 D/E E7</v>
      </c>
      <c r="F39" s="6" t="str">
        <f t="shared" si="4"/>
        <v>Pesado de Mercadorias N3: 20-28 t : Gasóleo</v>
      </c>
      <c r="G39" s="6" t="s">
        <v>55</v>
      </c>
      <c r="H39" s="6" t="s">
        <v>96</v>
      </c>
      <c r="I39" s="9">
        <f>IF(H39="MJ",INDEX(Tabela1[Energia (MJ/Qtd.)],MATCH(C39,Tabela1[Fuel],0)),IF(H39="GJ",INDEX(Tabela1[Energia (GJ/Qtd.)2],MATCH(C39,Tabela1[Fuel],0)),"XXX"))</f>
        <v>3.5868000000000004E-2</v>
      </c>
      <c r="J39" s="211">
        <v>6010319</v>
      </c>
      <c r="K39" s="212">
        <f t="array" ref="K39">J39/SUMPRODUCT(IF(F$2:F$47=F39,1,0),J$2:J$47)</f>
        <v>2.2102622693705921E-2</v>
      </c>
      <c r="L39" s="211">
        <v>15777721</v>
      </c>
      <c r="M39" s="212">
        <f t="array" ref="M39">L39/SUMPRODUCT(IF(F$2:F$47=F39,1,0),L$2:L$47)</f>
        <v>6.0428687340269092E-2</v>
      </c>
    </row>
    <row r="40" spans="1:13" ht="15.75" thickBot="1" x14ac:dyDescent="0.3">
      <c r="A40" s="4" t="s">
        <v>46</v>
      </c>
      <c r="B40" s="7" t="s">
        <v>80</v>
      </c>
      <c r="C40" s="5" t="s">
        <v>3</v>
      </c>
      <c r="D40" s="6" t="s">
        <v>8</v>
      </c>
      <c r="E40" s="6" t="str">
        <f t="shared" si="3"/>
        <v>Pesado de Mercadorias N3: &gt;28 t : Gasóleo : E0</v>
      </c>
      <c r="F40" s="6" t="str">
        <f t="shared" si="4"/>
        <v>Pesado de Mercadorias N3: &gt;28 t : Gasóleo</v>
      </c>
      <c r="G40" s="6" t="s">
        <v>55</v>
      </c>
      <c r="H40" s="6" t="s">
        <v>96</v>
      </c>
      <c r="I40" s="9">
        <f>IF(H40="MJ",INDEX(Tabela1[Energia (MJ/Qtd.)],MATCH(C40,Tabela1[Fuel],0)),IF(H40="GJ",INDEX(Tabela1[Energia (GJ/Qtd.)2],MATCH(C40,Tabela1[Fuel],0)),"XXX"))</f>
        <v>3.5868000000000004E-2</v>
      </c>
      <c r="J40" s="211">
        <v>6991653</v>
      </c>
      <c r="K40" s="212">
        <f t="array" ref="K40">J40/SUMPRODUCT(IF(F$2:F$47=F40,1,0),J$2:J$47)</f>
        <v>2.8907428424691756E-2</v>
      </c>
      <c r="L40" s="211">
        <v>4413227</v>
      </c>
      <c r="M40" s="212">
        <f t="array" ref="M40">L40/SUMPRODUCT(IF(F$2:F$47=F40,1,0),L$2:L$47)</f>
        <v>2.2539653564293806E-2</v>
      </c>
    </row>
    <row r="41" spans="1:13" ht="15.75" thickBot="1" x14ac:dyDescent="0.3">
      <c r="A41" s="4" t="s">
        <v>46</v>
      </c>
      <c r="B41" s="7" t="s">
        <v>80</v>
      </c>
      <c r="C41" s="5" t="s">
        <v>3</v>
      </c>
      <c r="D41" s="6" t="s">
        <v>7</v>
      </c>
      <c r="E41" s="6" t="str">
        <f t="shared" si="3"/>
        <v>Pesado de Mercadorias N3: &gt;28 t : Gasóleo : E1</v>
      </c>
      <c r="F41" s="6" t="str">
        <f t="shared" si="4"/>
        <v>Pesado de Mercadorias N3: &gt;28 t : Gasóleo</v>
      </c>
      <c r="G41" s="6" t="s">
        <v>55</v>
      </c>
      <c r="H41" s="6" t="s">
        <v>96</v>
      </c>
      <c r="I41" s="9">
        <f>IF(H41="MJ",INDEX(Tabela1[Energia (MJ/Qtd.)],MATCH(C41,Tabela1[Fuel],0)),IF(H41="GJ",INDEX(Tabela1[Energia (GJ/Qtd.)2],MATCH(C41,Tabela1[Fuel],0)),"XXX"))</f>
        <v>3.5868000000000004E-2</v>
      </c>
      <c r="J41" s="211">
        <v>11588840</v>
      </c>
      <c r="K41" s="212">
        <f t="array" ref="K41">J41/SUMPRODUCT(IF(F$2:F$47=F41,1,0),J$2:J$47)</f>
        <v>4.7914786792937925E-2</v>
      </c>
      <c r="L41" s="211">
        <v>7685602</v>
      </c>
      <c r="M41" s="212">
        <f t="array" ref="M41">L41/SUMPRODUCT(IF(F$2:F$47=F41,1,0),L$2:L$47)</f>
        <v>3.9252639058231904E-2</v>
      </c>
    </row>
    <row r="42" spans="1:13" ht="15.75" thickBot="1" x14ac:dyDescent="0.3">
      <c r="A42" s="4" t="s">
        <v>46</v>
      </c>
      <c r="B42" s="7" t="s">
        <v>80</v>
      </c>
      <c r="C42" s="5" t="s">
        <v>3</v>
      </c>
      <c r="D42" s="6" t="s">
        <v>9</v>
      </c>
      <c r="E42" s="6" t="str">
        <f t="shared" si="3"/>
        <v>Pesado de Mercadorias N3: &gt;28 t : Gasóleo : E2</v>
      </c>
      <c r="F42" s="6" t="str">
        <f t="shared" si="4"/>
        <v>Pesado de Mercadorias N3: &gt;28 t : Gasóleo</v>
      </c>
      <c r="G42" s="6" t="s">
        <v>55</v>
      </c>
      <c r="H42" s="6" t="s">
        <v>96</v>
      </c>
      <c r="I42" s="9">
        <f>IF(H42="MJ",INDEX(Tabela1[Energia (MJ/Qtd.)],MATCH(C42,Tabela1[Fuel],0)),IF(H42="GJ",INDEX(Tabela1[Energia (GJ/Qtd.)2],MATCH(C42,Tabela1[Fuel],0)),"XXX"))</f>
        <v>3.5868000000000004E-2</v>
      </c>
      <c r="J42" s="211">
        <v>60644622</v>
      </c>
      <c r="K42" s="212">
        <f t="array" ref="K42">J42/SUMPRODUCT(IF(F$2:F$47=F42,1,0),J$2:J$47)</f>
        <v>0.25073899831806401</v>
      </c>
      <c r="L42" s="211">
        <v>40068053</v>
      </c>
      <c r="M42" s="212">
        <f t="array" ref="M42">L42/SUMPRODUCT(IF(F$2:F$47=F42,1,0),L$2:L$47)</f>
        <v>0.20463937921520084</v>
      </c>
    </row>
    <row r="43" spans="1:13" ht="15.75" thickBot="1" x14ac:dyDescent="0.3">
      <c r="A43" s="4" t="s">
        <v>46</v>
      </c>
      <c r="B43" s="7" t="s">
        <v>80</v>
      </c>
      <c r="C43" s="5" t="s">
        <v>3</v>
      </c>
      <c r="D43" s="6" t="s">
        <v>10</v>
      </c>
      <c r="E43" s="6" t="str">
        <f t="shared" si="3"/>
        <v>Pesado de Mercadorias N3: &gt;28 t : Gasóleo : E3</v>
      </c>
      <c r="F43" s="6" t="str">
        <f t="shared" si="4"/>
        <v>Pesado de Mercadorias N3: &gt;28 t : Gasóleo</v>
      </c>
      <c r="G43" s="6" t="s">
        <v>55</v>
      </c>
      <c r="H43" s="6" t="s">
        <v>96</v>
      </c>
      <c r="I43" s="9">
        <f>IF(H43="MJ",INDEX(Tabela1[Energia (MJ/Qtd.)],MATCH(C43,Tabela1[Fuel],0)),IF(H43="GJ",INDEX(Tabela1[Energia (GJ/Qtd.)2],MATCH(C43,Tabela1[Fuel],0)),"XXX"))</f>
        <v>3.5868000000000004E-2</v>
      </c>
      <c r="J43" s="211">
        <v>101532072</v>
      </c>
      <c r="K43" s="212">
        <f t="array" ref="K43">J43/SUMPRODUCT(IF(F$2:F$47=F43,1,0),J$2:J$47)</f>
        <v>0.41979072819412661</v>
      </c>
      <c r="L43" s="211">
        <v>71876328</v>
      </c>
      <c r="M43" s="212">
        <f t="array" ref="M43">L43/SUMPRODUCT(IF(F$2:F$47=F43,1,0),L$2:L$47)</f>
        <v>0.36709363297957498</v>
      </c>
    </row>
    <row r="44" spans="1:13" ht="15.75" thickBot="1" x14ac:dyDescent="0.3">
      <c r="A44" s="4" t="s">
        <v>46</v>
      </c>
      <c r="B44" s="7" t="s">
        <v>80</v>
      </c>
      <c r="C44" s="5" t="s">
        <v>3</v>
      </c>
      <c r="D44" s="6" t="s">
        <v>4</v>
      </c>
      <c r="E44" s="6" t="str">
        <f t="shared" si="3"/>
        <v>Pesado de Mercadorias N3: &gt;28 t : Gasóleo : E4</v>
      </c>
      <c r="F44" s="6" t="str">
        <f t="shared" si="4"/>
        <v>Pesado de Mercadorias N3: &gt;28 t : Gasóleo</v>
      </c>
      <c r="G44" s="6" t="s">
        <v>55</v>
      </c>
      <c r="H44" s="6" t="s">
        <v>96</v>
      </c>
      <c r="I44" s="9">
        <f>IF(H44="MJ",INDEX(Tabela1[Energia (MJ/Qtd.)],MATCH(C44,Tabela1[Fuel],0)),IF(H44="GJ",INDEX(Tabela1[Energia (GJ/Qtd.)2],MATCH(C44,Tabela1[Fuel],0)),"XXX"))</f>
        <v>3.5868000000000004E-2</v>
      </c>
      <c r="J44" s="211">
        <v>29218630</v>
      </c>
      <c r="K44" s="212">
        <f t="array" ref="K44">J44/SUMPRODUCT(IF(F$2:F$47=F44,1,0),J$2:J$47)</f>
        <v>0.12080626075014754</v>
      </c>
      <c r="L44" s="211">
        <v>27504917</v>
      </c>
      <c r="M44" s="212">
        <f t="array" ref="M44">L44/SUMPRODUCT(IF(F$2:F$47=F44,1,0),L$2:L$47)</f>
        <v>0.14047573362862489</v>
      </c>
    </row>
    <row r="45" spans="1:13" ht="15.75" thickBot="1" x14ac:dyDescent="0.3">
      <c r="A45" s="4" t="s">
        <v>46</v>
      </c>
      <c r="B45" s="7" t="s">
        <v>80</v>
      </c>
      <c r="C45" s="5" t="s">
        <v>3</v>
      </c>
      <c r="D45" s="6" t="s">
        <v>5</v>
      </c>
      <c r="E45" s="6" t="str">
        <f t="shared" si="3"/>
        <v>Pesado de Mercadorias N3: &gt;28 t : Gasóleo : E5</v>
      </c>
      <c r="F45" s="6" t="str">
        <f t="shared" si="4"/>
        <v>Pesado de Mercadorias N3: &gt;28 t : Gasóleo</v>
      </c>
      <c r="G45" s="6" t="s">
        <v>55</v>
      </c>
      <c r="H45" s="6" t="s">
        <v>96</v>
      </c>
      <c r="I45" s="9">
        <f>IF(H45="MJ",INDEX(Tabela1[Energia (MJ/Qtd.)],MATCH(C45,Tabela1[Fuel],0)),IF(H45="GJ",INDEX(Tabela1[Energia (GJ/Qtd.)2],MATCH(C45,Tabela1[Fuel],0)),"XXX"))</f>
        <v>3.5868000000000004E-2</v>
      </c>
      <c r="J45" s="211">
        <v>9776823</v>
      </c>
      <c r="K45" s="212">
        <f t="array" ref="K45">J45/SUMPRODUCT(IF(F$2:F$47=F45,1,0),J$2:J$47)</f>
        <v>4.0422888706487595E-2</v>
      </c>
      <c r="L45" s="211">
        <v>10346319</v>
      </c>
      <c r="M45" s="212">
        <f t="array" ref="M45">L45/SUMPRODUCT(IF(F$2:F$47=F45,1,0),L$2:L$47)</f>
        <v>5.2841706516721376E-2</v>
      </c>
    </row>
    <row r="46" spans="1:13" ht="15.75" thickBot="1" x14ac:dyDescent="0.3">
      <c r="A46" s="4" t="s">
        <v>46</v>
      </c>
      <c r="B46" s="7" t="s">
        <v>80</v>
      </c>
      <c r="C46" s="5" t="s">
        <v>3</v>
      </c>
      <c r="D46" s="6" t="s">
        <v>6</v>
      </c>
      <c r="E46" s="6" t="str">
        <f t="shared" si="3"/>
        <v>Pesado de Mercadorias N3: &gt;28 t : Gasóleo : E6</v>
      </c>
      <c r="F46" s="6" t="str">
        <f t="shared" si="4"/>
        <v>Pesado de Mercadorias N3: &gt;28 t : Gasóleo</v>
      </c>
      <c r="G46" s="6" t="s">
        <v>55</v>
      </c>
      <c r="H46" s="6" t="s">
        <v>96</v>
      </c>
      <c r="I46" s="9">
        <f>IF(H46="MJ",INDEX(Tabela1[Energia (MJ/Qtd.)],MATCH(C46,Tabela1[Fuel],0)),IF(H46="GJ",INDEX(Tabela1[Energia (GJ/Qtd.)2],MATCH(C46,Tabela1[Fuel],0)),"XXX"))</f>
        <v>3.5868000000000004E-2</v>
      </c>
      <c r="J46" s="211">
        <v>16726090</v>
      </c>
      <c r="K46" s="212">
        <f t="array" ref="K46">J46/SUMPRODUCT(IF(F$2:F$47=F46,1,0),J$2:J$47)</f>
        <v>6.9155069552214982E-2</v>
      </c>
      <c r="L46" s="211">
        <v>19773177</v>
      </c>
      <c r="M46" s="212">
        <f t="array" ref="M46">L46/SUMPRODUCT(IF(F$2:F$47=F46,1,0),L$2:L$47)</f>
        <v>0.10098745417932554</v>
      </c>
    </row>
    <row r="47" spans="1:13" ht="15.75" thickBot="1" x14ac:dyDescent="0.3">
      <c r="A47" s="4" t="s">
        <v>46</v>
      </c>
      <c r="B47" s="7" t="s">
        <v>80</v>
      </c>
      <c r="C47" s="5" t="s">
        <v>3</v>
      </c>
      <c r="D47" s="6" t="s">
        <v>81</v>
      </c>
      <c r="E47" s="6" t="str">
        <f t="shared" si="3"/>
        <v>Pesado de Mercadorias N3: &gt;28 t : Gasóleo : E6 D/E E7</v>
      </c>
      <c r="F47" s="6" t="str">
        <f t="shared" si="4"/>
        <v>Pesado de Mercadorias N3: &gt;28 t : Gasóleo</v>
      </c>
      <c r="G47" s="6" t="s">
        <v>55</v>
      </c>
      <c r="H47" s="6" t="s">
        <v>96</v>
      </c>
      <c r="I47" s="9">
        <f>IF(H47="MJ",INDEX(Tabela1[Energia (MJ/Qtd.)],MATCH(C47,Tabela1[Fuel],0)),IF(H47="GJ",INDEX(Tabela1[Energia (GJ/Qtd.)2],MATCH(C47,Tabela1[Fuel],0)),"XXX"))</f>
        <v>3.5868000000000004E-2</v>
      </c>
      <c r="J47" s="211">
        <v>5384811</v>
      </c>
      <c r="K47" s="212">
        <f t="array" ref="K47">J47/SUMPRODUCT(IF(F$2:F$47=F47,1,0),J$2:J$47)</f>
        <v>2.2263839261329594E-2</v>
      </c>
      <c r="L47" s="211">
        <v>14130728</v>
      </c>
      <c r="M47" s="212">
        <f t="array" ref="M47">L47/SUMPRODUCT(IF(F$2:F$47=F47,1,0),L$2:L$47)</f>
        <v>7.2169800858026628E-2</v>
      </c>
    </row>
    <row r="48" spans="1:13" ht="15.75" thickBot="1" x14ac:dyDescent="0.3">
      <c r="A48" s="4" t="s">
        <v>2</v>
      </c>
      <c r="B48" s="7" t="s">
        <v>16</v>
      </c>
      <c r="C48" s="5" t="s">
        <v>3</v>
      </c>
      <c r="D48" s="6" t="s">
        <v>8</v>
      </c>
      <c r="E48" s="6" t="str">
        <f t="shared" si="3"/>
        <v>Pesado de Passageiros M3: Geral : Gasóleo : E0</v>
      </c>
      <c r="F48" s="6" t="str">
        <f t="shared" si="4"/>
        <v>Pesado de Passageiros M3: Geral : Gasóleo</v>
      </c>
      <c r="G48" s="6" t="s">
        <v>55</v>
      </c>
      <c r="H48" s="6" t="s">
        <v>96</v>
      </c>
      <c r="I48" s="9">
        <f>IF(H48="MJ",INDEX(Tabela1[Energia (MJ/Qtd.)],MATCH(C48,Tabela1[Fuel],0)),IF(H48="GJ",INDEX(Tabela1[Energia (GJ/Qtd.)2],MATCH(C48,Tabela1[Fuel],0)),"XXX"))</f>
        <v>3.5868000000000004E-2</v>
      </c>
      <c r="J48" s="211">
        <f>J2+J16</f>
        <v>8481921</v>
      </c>
      <c r="K48" s="212">
        <f>J48/SUM($J$48:$J$55)</f>
        <v>2.0624942321903993E-2</v>
      </c>
      <c r="L48" s="211">
        <f>L2+L16</f>
        <v>4928655</v>
      </c>
      <c r="M48" s="212">
        <f>L48/SUM($L$48:$L$55)</f>
        <v>1.462253022117079E-2</v>
      </c>
    </row>
    <row r="49" spans="1:13" ht="15.75" thickBot="1" x14ac:dyDescent="0.3">
      <c r="A49" s="4" t="s">
        <v>2</v>
      </c>
      <c r="B49" s="7" t="s">
        <v>16</v>
      </c>
      <c r="C49" s="5" t="s">
        <v>3</v>
      </c>
      <c r="D49" s="6" t="s">
        <v>7</v>
      </c>
      <c r="E49" s="6" t="str">
        <f t="shared" si="3"/>
        <v>Pesado de Passageiros M3: Geral : Gasóleo : E1</v>
      </c>
      <c r="F49" s="6" t="str">
        <f t="shared" si="4"/>
        <v>Pesado de Passageiros M3: Geral : Gasóleo</v>
      </c>
      <c r="G49" s="6" t="s">
        <v>55</v>
      </c>
      <c r="H49" s="6" t="s">
        <v>96</v>
      </c>
      <c r="I49" s="9">
        <f>IF(H49="MJ",INDEX(Tabela1[Energia (MJ/Qtd.)],MATCH(C49,Tabela1[Fuel],0)),IF(H49="GJ",INDEX(Tabela1[Energia (GJ/Qtd.)2],MATCH(C49,Tabela1[Fuel],0)),"XXX"))</f>
        <v>3.5868000000000004E-2</v>
      </c>
      <c r="J49" s="211">
        <f t="shared" ref="J49:L55" si="5">J3+J17</f>
        <v>8483978</v>
      </c>
      <c r="K49" s="212">
        <f t="shared" ref="K49:K55" si="6">J49/SUM($J$48:$J$55)</f>
        <v>2.0629944196639226E-2</v>
      </c>
      <c r="L49" s="211">
        <f t="shared" si="5"/>
        <v>5121943</v>
      </c>
      <c r="M49" s="212">
        <f t="shared" ref="M49:M55" si="7">L49/SUM($L$48:$L$55)</f>
        <v>1.5195984768382891E-2</v>
      </c>
    </row>
    <row r="50" spans="1:13" ht="15.75" thickBot="1" x14ac:dyDescent="0.3">
      <c r="A50" s="4" t="s">
        <v>2</v>
      </c>
      <c r="B50" s="7" t="s">
        <v>16</v>
      </c>
      <c r="C50" s="5" t="s">
        <v>3</v>
      </c>
      <c r="D50" s="6" t="s">
        <v>9</v>
      </c>
      <c r="E50" s="6" t="str">
        <f t="shared" si="3"/>
        <v>Pesado de Passageiros M3: Geral : Gasóleo : E2</v>
      </c>
      <c r="F50" s="6" t="str">
        <f t="shared" si="4"/>
        <v>Pesado de Passageiros M3: Geral : Gasóleo</v>
      </c>
      <c r="G50" s="6" t="s">
        <v>55</v>
      </c>
      <c r="H50" s="6" t="s">
        <v>96</v>
      </c>
      <c r="I50" s="9">
        <f>IF(H50="MJ",INDEX(Tabela1[Energia (MJ/Qtd.)],MATCH(C50,Tabela1[Fuel],0)),IF(H50="GJ",INDEX(Tabela1[Energia (GJ/Qtd.)2],MATCH(C50,Tabela1[Fuel],0)),"XXX"))</f>
        <v>3.5868000000000004E-2</v>
      </c>
      <c r="J50" s="211">
        <f t="shared" si="5"/>
        <v>54296082</v>
      </c>
      <c r="K50" s="212">
        <f t="shared" si="6"/>
        <v>0.13202829400973784</v>
      </c>
      <c r="L50" s="211">
        <f t="shared" si="5"/>
        <v>33781661</v>
      </c>
      <c r="M50" s="212">
        <f t="shared" si="7"/>
        <v>0.10022477915249631</v>
      </c>
    </row>
    <row r="51" spans="1:13" ht="15.75" thickBot="1" x14ac:dyDescent="0.3">
      <c r="A51" s="4" t="s">
        <v>2</v>
      </c>
      <c r="B51" s="7" t="s">
        <v>16</v>
      </c>
      <c r="C51" s="5" t="s">
        <v>3</v>
      </c>
      <c r="D51" s="6" t="s">
        <v>10</v>
      </c>
      <c r="E51" s="6" t="str">
        <f t="shared" si="3"/>
        <v>Pesado de Passageiros M3: Geral : Gasóleo : E3</v>
      </c>
      <c r="F51" s="6" t="str">
        <f t="shared" si="4"/>
        <v>Pesado de Passageiros M3: Geral : Gasóleo</v>
      </c>
      <c r="G51" s="6" t="s">
        <v>55</v>
      </c>
      <c r="H51" s="6" t="s">
        <v>96</v>
      </c>
      <c r="I51" s="9">
        <f>IF(H51="MJ",INDEX(Tabela1[Energia (MJ/Qtd.)],MATCH(C51,Tabela1[Fuel],0)),IF(H51="GJ",INDEX(Tabela1[Energia (GJ/Qtd.)2],MATCH(C51,Tabela1[Fuel],0)),"XXX"))</f>
        <v>3.5868000000000004E-2</v>
      </c>
      <c r="J51" s="211">
        <f t="shared" si="5"/>
        <v>108993369</v>
      </c>
      <c r="K51" s="212">
        <f t="shared" si="6"/>
        <v>0.26503217244006383</v>
      </c>
      <c r="L51" s="211">
        <f t="shared" si="5"/>
        <v>80527758</v>
      </c>
      <c r="M51" s="212">
        <f t="shared" si="7"/>
        <v>0.2389129640841422</v>
      </c>
    </row>
    <row r="52" spans="1:13" ht="15.75" thickBot="1" x14ac:dyDescent="0.3">
      <c r="A52" s="4" t="s">
        <v>2</v>
      </c>
      <c r="B52" s="7" t="s">
        <v>16</v>
      </c>
      <c r="C52" s="5" t="s">
        <v>3</v>
      </c>
      <c r="D52" s="6" t="s">
        <v>4</v>
      </c>
      <c r="E52" s="6" t="str">
        <f t="shared" si="3"/>
        <v>Pesado de Passageiros M3: Geral : Gasóleo : E4</v>
      </c>
      <c r="F52" s="6" t="str">
        <f t="shared" si="4"/>
        <v>Pesado de Passageiros M3: Geral : Gasóleo</v>
      </c>
      <c r="G52" s="6" t="s">
        <v>55</v>
      </c>
      <c r="H52" s="6" t="s">
        <v>96</v>
      </c>
      <c r="I52" s="9">
        <f>IF(H52="MJ",INDEX(Tabela1[Energia (MJ/Qtd.)],MATCH(C52,Tabela1[Fuel],0)),IF(H52="GJ",INDEX(Tabela1[Energia (GJ/Qtd.)2],MATCH(C52,Tabela1[Fuel],0)),"XXX"))</f>
        <v>3.5868000000000004E-2</v>
      </c>
      <c r="J52" s="211">
        <f t="shared" si="5"/>
        <v>91015808</v>
      </c>
      <c r="K52" s="212">
        <f t="shared" si="6"/>
        <v>0.22131729243664117</v>
      </c>
      <c r="L52" s="211">
        <f t="shared" si="5"/>
        <v>75003194</v>
      </c>
      <c r="M52" s="212">
        <f t="shared" si="7"/>
        <v>0.2225224672754201</v>
      </c>
    </row>
    <row r="53" spans="1:13" ht="15.75" thickBot="1" x14ac:dyDescent="0.3">
      <c r="A53" s="4" t="s">
        <v>2</v>
      </c>
      <c r="B53" s="7" t="s">
        <v>16</v>
      </c>
      <c r="C53" s="5" t="s">
        <v>3</v>
      </c>
      <c r="D53" s="6" t="s">
        <v>5</v>
      </c>
      <c r="E53" s="6" t="str">
        <f t="shared" si="3"/>
        <v>Pesado de Passageiros M3: Geral : Gasóleo : E5</v>
      </c>
      <c r="F53" s="6" t="str">
        <f t="shared" si="4"/>
        <v>Pesado de Passageiros M3: Geral : Gasóleo</v>
      </c>
      <c r="G53" s="6" t="s">
        <v>55</v>
      </c>
      <c r="H53" s="6" t="s">
        <v>96</v>
      </c>
      <c r="I53" s="9">
        <f>IF(H53="MJ",INDEX(Tabela1[Energia (MJ/Qtd.)],MATCH(C53,Tabela1[Fuel],0)),IF(H53="GJ",INDEX(Tabela1[Energia (GJ/Qtd.)2],MATCH(C53,Tabela1[Fuel],0)),"XXX"))</f>
        <v>3.5868000000000004E-2</v>
      </c>
      <c r="J53" s="211">
        <f t="shared" si="5"/>
        <v>60150031</v>
      </c>
      <c r="K53" s="212">
        <f t="shared" si="6"/>
        <v>0.14626296566965633</v>
      </c>
      <c r="L53" s="211">
        <f t="shared" si="5"/>
        <v>55379453</v>
      </c>
      <c r="M53" s="212">
        <f t="shared" si="7"/>
        <v>0.16430196983242029</v>
      </c>
    </row>
    <row r="54" spans="1:13" ht="15.75" thickBot="1" x14ac:dyDescent="0.3">
      <c r="A54" s="4" t="s">
        <v>2</v>
      </c>
      <c r="B54" s="7" t="s">
        <v>16</v>
      </c>
      <c r="C54" s="5" t="s">
        <v>3</v>
      </c>
      <c r="D54" s="6" t="s">
        <v>6</v>
      </c>
      <c r="E54" s="6" t="str">
        <f t="shared" si="3"/>
        <v>Pesado de Passageiros M3: Geral : Gasóleo : E6</v>
      </c>
      <c r="F54" s="6" t="str">
        <f t="shared" si="4"/>
        <v>Pesado de Passageiros M3: Geral : Gasóleo</v>
      </c>
      <c r="G54" s="6" t="s">
        <v>55</v>
      </c>
      <c r="H54" s="6" t="s">
        <v>96</v>
      </c>
      <c r="I54" s="9">
        <f>IF(H54="MJ",INDEX(Tabela1[Energia (MJ/Qtd.)],MATCH(C54,Tabela1[Fuel],0)),IF(H54="GJ",INDEX(Tabela1[Energia (GJ/Qtd.)2],MATCH(C54,Tabela1[Fuel],0)),"XXX"))</f>
        <v>3.5868000000000004E-2</v>
      </c>
      <c r="J54" s="211">
        <f t="shared" si="5"/>
        <v>69177091</v>
      </c>
      <c r="K54" s="212">
        <f t="shared" si="6"/>
        <v>0.16821348747201298</v>
      </c>
      <c r="L54" s="211">
        <f t="shared" si="5"/>
        <v>64106177</v>
      </c>
      <c r="M54" s="212">
        <f t="shared" si="7"/>
        <v>0.19019276263934559</v>
      </c>
    </row>
    <row r="55" spans="1:13" ht="15.75" thickBot="1" x14ac:dyDescent="0.3">
      <c r="A55" s="4" t="s">
        <v>2</v>
      </c>
      <c r="B55" s="7" t="s">
        <v>16</v>
      </c>
      <c r="C55" s="5" t="s">
        <v>3</v>
      </c>
      <c r="D55" s="6" t="s">
        <v>81</v>
      </c>
      <c r="E55" s="6" t="str">
        <f t="shared" si="3"/>
        <v>Pesado de Passageiros M3: Geral : Gasóleo : E6 D/E E7</v>
      </c>
      <c r="F55" s="6" t="str">
        <f t="shared" si="4"/>
        <v>Pesado de Passageiros M3: Geral : Gasóleo</v>
      </c>
      <c r="G55" s="6" t="s">
        <v>55</v>
      </c>
      <c r="H55" s="6" t="s">
        <v>96</v>
      </c>
      <c r="I55" s="9">
        <f>IF(H55="MJ",INDEX(Tabela1[Energia (MJ/Qtd.)],MATCH(C55,Tabela1[Fuel],0)),IF(H55="GJ",INDEX(Tabela1[Energia (GJ/Qtd.)2],MATCH(C55,Tabela1[Fuel],0)),"XXX"))</f>
        <v>3.5868000000000004E-2</v>
      </c>
      <c r="J55" s="211">
        <f t="shared" si="5"/>
        <v>10647524.6</v>
      </c>
      <c r="K55" s="212">
        <f t="shared" si="6"/>
        <v>2.5890901453344575E-2</v>
      </c>
      <c r="L55" s="211">
        <f t="shared" si="5"/>
        <v>18210130.699999999</v>
      </c>
      <c r="M55" s="212">
        <f t="shared" si="7"/>
        <v>5.4026542026621868E-2</v>
      </c>
    </row>
    <row r="56" spans="1:13" ht="15.75" thickBot="1" x14ac:dyDescent="0.3">
      <c r="A56" s="4" t="s">
        <v>46</v>
      </c>
      <c r="B56" s="7" t="s">
        <v>16</v>
      </c>
      <c r="C56" s="5" t="s">
        <v>3</v>
      </c>
      <c r="D56" s="6" t="s">
        <v>8</v>
      </c>
      <c r="E56" s="6" t="str">
        <f t="shared" ref="E56:E68" si="8">A56&amp;": "&amp;B56&amp;" : "&amp;C56&amp;" : "&amp;D56</f>
        <v>Pesado de Mercadorias N3: Geral : Gasóleo : E0</v>
      </c>
      <c r="F56" s="6" t="str">
        <f t="shared" ref="F56:F68" si="9">A56&amp;": "&amp;B56&amp;" : "&amp;C56</f>
        <v>Pesado de Mercadorias N3: Geral : Gasóleo</v>
      </c>
      <c r="G56" s="6" t="s">
        <v>55</v>
      </c>
      <c r="H56" s="6" t="s">
        <v>96</v>
      </c>
      <c r="I56" s="9">
        <f>IF(H56="MJ",INDEX(Tabela1[Energia (MJ/Qtd.)],MATCH(C56,Tabela1[Fuel],0)),IF(H56="GJ",INDEX(Tabela1[Energia (GJ/Qtd.)2],MATCH(C56,Tabela1[Fuel],0)),"XXX"))</f>
        <v>3.5868000000000004E-2</v>
      </c>
      <c r="J56" s="211">
        <f>J24+J32+J40</f>
        <v>108624134</v>
      </c>
      <c r="K56" s="212">
        <f>J56/SUM($J$56:$J$63)</f>
        <v>2.5976341740670567E-2</v>
      </c>
      <c r="L56" s="211">
        <f>L24+L32+L40</f>
        <v>80231761</v>
      </c>
      <c r="M56" s="212">
        <f>L56/SUM($L$56:$L$63)</f>
        <v>1.9493805963074314E-2</v>
      </c>
    </row>
    <row r="57" spans="1:13" ht="15.75" thickBot="1" x14ac:dyDescent="0.3">
      <c r="A57" s="4" t="s">
        <v>46</v>
      </c>
      <c r="B57" s="7" t="s">
        <v>16</v>
      </c>
      <c r="C57" s="5" t="s">
        <v>3</v>
      </c>
      <c r="D57" s="6" t="s">
        <v>7</v>
      </c>
      <c r="E57" s="6" t="str">
        <f t="shared" si="8"/>
        <v>Pesado de Mercadorias N3: Geral : Gasóleo : E1</v>
      </c>
      <c r="F57" s="6" t="str">
        <f t="shared" si="9"/>
        <v>Pesado de Mercadorias N3: Geral : Gasóleo</v>
      </c>
      <c r="G57" s="6" t="s">
        <v>55</v>
      </c>
      <c r="H57" s="6" t="s">
        <v>96</v>
      </c>
      <c r="I57" s="9">
        <f>IF(H57="MJ",INDEX(Tabela1[Energia (MJ/Qtd.)],MATCH(C57,Tabela1[Fuel],0)),IF(H57="GJ",INDEX(Tabela1[Energia (GJ/Qtd.)2],MATCH(C57,Tabela1[Fuel],0)),"XXX"))</f>
        <v>3.5868000000000004E-2</v>
      </c>
      <c r="J57" s="211">
        <f t="shared" ref="J57:L63" si="10">J25+J33+J41</f>
        <v>62334812</v>
      </c>
      <c r="K57" s="212">
        <f t="shared" ref="K57:K63" si="11">J57/SUM($J$56:$J$63)</f>
        <v>1.4906727623278014E-2</v>
      </c>
      <c r="L57" s="211">
        <f t="shared" si="10"/>
        <v>45757974</v>
      </c>
      <c r="M57" s="212">
        <f t="shared" ref="M57:M63" si="12">L57/SUM($L$56:$L$63)</f>
        <v>1.1117755054876577E-2</v>
      </c>
    </row>
    <row r="58" spans="1:13" ht="15.75" thickBot="1" x14ac:dyDescent="0.3">
      <c r="A58" s="4" t="s">
        <v>46</v>
      </c>
      <c r="B58" s="7" t="s">
        <v>16</v>
      </c>
      <c r="C58" s="5" t="s">
        <v>3</v>
      </c>
      <c r="D58" s="6" t="s">
        <v>9</v>
      </c>
      <c r="E58" s="6" t="str">
        <f t="shared" si="8"/>
        <v>Pesado de Mercadorias N3: Geral : Gasóleo : E2</v>
      </c>
      <c r="F58" s="6" t="str">
        <f t="shared" si="9"/>
        <v>Pesado de Mercadorias N3: Geral : Gasóleo</v>
      </c>
      <c r="G58" s="6" t="s">
        <v>55</v>
      </c>
      <c r="H58" s="6" t="s">
        <v>96</v>
      </c>
      <c r="I58" s="9">
        <f>IF(H58="MJ",INDEX(Tabela1[Energia (MJ/Qtd.)],MATCH(C58,Tabela1[Fuel],0)),IF(H58="GJ",INDEX(Tabela1[Energia (GJ/Qtd.)2],MATCH(C58,Tabela1[Fuel],0)),"XXX"))</f>
        <v>3.5868000000000004E-2</v>
      </c>
      <c r="J58" s="211">
        <f t="shared" si="10"/>
        <v>305105991</v>
      </c>
      <c r="K58" s="212">
        <f t="shared" si="11"/>
        <v>7.2962952131263553E-2</v>
      </c>
      <c r="L58" s="211">
        <f t="shared" si="10"/>
        <v>230110450</v>
      </c>
      <c r="M58" s="212">
        <f t="shared" si="12"/>
        <v>5.590963486861162E-2</v>
      </c>
    </row>
    <row r="59" spans="1:13" ht="15.75" thickBot="1" x14ac:dyDescent="0.3">
      <c r="A59" s="4" t="s">
        <v>46</v>
      </c>
      <c r="B59" s="7" t="s">
        <v>16</v>
      </c>
      <c r="C59" s="5" t="s">
        <v>3</v>
      </c>
      <c r="D59" s="6" t="s">
        <v>10</v>
      </c>
      <c r="E59" s="6" t="str">
        <f t="shared" si="8"/>
        <v>Pesado de Mercadorias N3: Geral : Gasóleo : E3</v>
      </c>
      <c r="F59" s="6" t="str">
        <f t="shared" si="9"/>
        <v>Pesado de Mercadorias N3: Geral : Gasóleo</v>
      </c>
      <c r="G59" s="6" t="s">
        <v>55</v>
      </c>
      <c r="H59" s="6" t="s">
        <v>96</v>
      </c>
      <c r="I59" s="9">
        <f>IF(H59="MJ",INDEX(Tabela1[Energia (MJ/Qtd.)],MATCH(C59,Tabela1[Fuel],0)),IF(H59="GJ",INDEX(Tabela1[Energia (GJ/Qtd.)2],MATCH(C59,Tabela1[Fuel],0)),"XXX"))</f>
        <v>3.5868000000000004E-2</v>
      </c>
      <c r="J59" s="211">
        <f t="shared" si="10"/>
        <v>683815835</v>
      </c>
      <c r="K59" s="212">
        <f t="shared" si="11"/>
        <v>0.16352750685811679</v>
      </c>
      <c r="L59" s="211">
        <f t="shared" si="10"/>
        <v>541670442</v>
      </c>
      <c r="M59" s="212">
        <f t="shared" si="12"/>
        <v>0.13160895835603931</v>
      </c>
    </row>
    <row r="60" spans="1:13" ht="15.75" thickBot="1" x14ac:dyDescent="0.3">
      <c r="A60" s="4" t="s">
        <v>46</v>
      </c>
      <c r="B60" s="7" t="s">
        <v>16</v>
      </c>
      <c r="C60" s="5" t="s">
        <v>3</v>
      </c>
      <c r="D60" s="6" t="s">
        <v>4</v>
      </c>
      <c r="E60" s="6" t="str">
        <f t="shared" si="8"/>
        <v>Pesado de Mercadorias N3: Geral : Gasóleo : E4</v>
      </c>
      <c r="F60" s="6" t="str">
        <f t="shared" si="9"/>
        <v>Pesado de Mercadorias N3: Geral : Gasóleo</v>
      </c>
      <c r="G60" s="6" t="s">
        <v>55</v>
      </c>
      <c r="H60" s="6" t="s">
        <v>96</v>
      </c>
      <c r="I60" s="9">
        <f>IF(H60="MJ",INDEX(Tabela1[Energia (MJ/Qtd.)],MATCH(C60,Tabela1[Fuel],0)),IF(H60="GJ",INDEX(Tabela1[Energia (GJ/Qtd.)2],MATCH(C60,Tabela1[Fuel],0)),"XXX"))</f>
        <v>3.5868000000000004E-2</v>
      </c>
      <c r="J60" s="211">
        <f t="shared" si="10"/>
        <v>665184666</v>
      </c>
      <c r="K60" s="212">
        <f t="shared" si="11"/>
        <v>0.15907205487750825</v>
      </c>
      <c r="L60" s="211">
        <f t="shared" si="10"/>
        <v>562132429</v>
      </c>
      <c r="M60" s="212">
        <f t="shared" si="12"/>
        <v>0.13658058055684019</v>
      </c>
    </row>
    <row r="61" spans="1:13" ht="15.75" thickBot="1" x14ac:dyDescent="0.3">
      <c r="A61" s="4" t="s">
        <v>46</v>
      </c>
      <c r="B61" s="7" t="s">
        <v>16</v>
      </c>
      <c r="C61" s="5" t="s">
        <v>3</v>
      </c>
      <c r="D61" s="6" t="s">
        <v>5</v>
      </c>
      <c r="E61" s="6" t="str">
        <f t="shared" si="8"/>
        <v>Pesado de Mercadorias N3: Geral : Gasóleo : E5</v>
      </c>
      <c r="F61" s="6" t="str">
        <f t="shared" si="9"/>
        <v>Pesado de Mercadorias N3: Geral : Gasóleo</v>
      </c>
      <c r="G61" s="6" t="s">
        <v>55</v>
      </c>
      <c r="H61" s="6" t="s">
        <v>96</v>
      </c>
      <c r="I61" s="9">
        <f>IF(H61="MJ",INDEX(Tabela1[Energia (MJ/Qtd.)],MATCH(C61,Tabela1[Fuel],0)),IF(H61="GJ",INDEX(Tabela1[Energia (GJ/Qtd.)2],MATCH(C61,Tabela1[Fuel],0)),"XXX"))</f>
        <v>3.5868000000000004E-2</v>
      </c>
      <c r="J61" s="211">
        <f t="shared" si="10"/>
        <v>741196932</v>
      </c>
      <c r="K61" s="212">
        <f t="shared" si="11"/>
        <v>0.17724960461151812</v>
      </c>
      <c r="L61" s="211">
        <f t="shared" si="10"/>
        <v>653050035</v>
      </c>
      <c r="M61" s="212">
        <f t="shared" si="12"/>
        <v>0.1586707122939616</v>
      </c>
    </row>
    <row r="62" spans="1:13" ht="15.75" thickBot="1" x14ac:dyDescent="0.3">
      <c r="A62" s="4" t="s">
        <v>46</v>
      </c>
      <c r="B62" s="7" t="s">
        <v>16</v>
      </c>
      <c r="C62" s="5" t="s">
        <v>3</v>
      </c>
      <c r="D62" s="6" t="s">
        <v>6</v>
      </c>
      <c r="E62" s="6" t="str">
        <f t="shared" si="8"/>
        <v>Pesado de Mercadorias N3: Geral : Gasóleo : E6</v>
      </c>
      <c r="F62" s="6" t="str">
        <f t="shared" si="9"/>
        <v>Pesado de Mercadorias N3: Geral : Gasóleo</v>
      </c>
      <c r="G62" s="6" t="s">
        <v>55</v>
      </c>
      <c r="H62" s="6" t="s">
        <v>96</v>
      </c>
      <c r="I62" s="9">
        <f>IF(H62="MJ",INDEX(Tabela1[Energia (MJ/Qtd.)],MATCH(C62,Tabela1[Fuel],0)),IF(H62="GJ",INDEX(Tabela1[Energia (GJ/Qtd.)2],MATCH(C62,Tabela1[Fuel],0)),"XXX"))</f>
        <v>3.5868000000000004E-2</v>
      </c>
      <c r="J62" s="211">
        <f t="shared" si="10"/>
        <v>1360319465</v>
      </c>
      <c r="K62" s="212">
        <f t="shared" si="11"/>
        <v>0.32530637527868489</v>
      </c>
      <c r="L62" s="211">
        <f t="shared" si="10"/>
        <v>1294191300</v>
      </c>
      <c r="M62" s="212">
        <f t="shared" si="12"/>
        <v>0.3144479663271868</v>
      </c>
    </row>
    <row r="63" spans="1:13" ht="15.75" thickBot="1" x14ac:dyDescent="0.3">
      <c r="A63" s="4" t="s">
        <v>46</v>
      </c>
      <c r="B63" s="7" t="s">
        <v>16</v>
      </c>
      <c r="C63" s="5" t="s">
        <v>3</v>
      </c>
      <c r="D63" s="6" t="s">
        <v>81</v>
      </c>
      <c r="E63" s="6" t="str">
        <f t="shared" si="8"/>
        <v>Pesado de Mercadorias N3: Geral : Gasóleo : E6 D/E E7</v>
      </c>
      <c r="F63" s="6" t="str">
        <f t="shared" si="9"/>
        <v>Pesado de Mercadorias N3: Geral : Gasóleo</v>
      </c>
      <c r="G63" s="6" t="s">
        <v>55</v>
      </c>
      <c r="H63" s="6" t="s">
        <v>96</v>
      </c>
      <c r="I63" s="9">
        <f>IF(H63="MJ",INDEX(Tabela1[Energia (MJ/Qtd.)],MATCH(C63,Tabela1[Fuel],0)),IF(H63="GJ",INDEX(Tabela1[Energia (GJ/Qtd.)2],MATCH(C63,Tabela1[Fuel],0)),"XXX"))</f>
        <v>3.5868000000000004E-2</v>
      </c>
      <c r="J63" s="211">
        <f t="shared" si="10"/>
        <v>255074500</v>
      </c>
      <c r="K63" s="212">
        <f t="shared" si="11"/>
        <v>6.0998436878959832E-2</v>
      </c>
      <c r="L63" s="211">
        <f t="shared" si="10"/>
        <v>708612232</v>
      </c>
      <c r="M63" s="212">
        <f t="shared" si="12"/>
        <v>0.17217058657940962</v>
      </c>
    </row>
    <row r="64" spans="1:13" ht="15.75" thickBot="1" x14ac:dyDescent="0.3">
      <c r="A64" s="4" t="s">
        <v>46</v>
      </c>
      <c r="B64" s="7" t="s">
        <v>79</v>
      </c>
      <c r="C64" s="5" t="s">
        <v>3</v>
      </c>
      <c r="D64" s="6" t="s">
        <v>16</v>
      </c>
      <c r="E64" s="6" t="str">
        <f t="shared" si="8"/>
        <v>Pesado de Mercadorias N3: &lt;20 t : Gasóleo : Geral</v>
      </c>
      <c r="F64" s="6" t="str">
        <f t="shared" si="9"/>
        <v>Pesado de Mercadorias N3: &lt;20 t : Gasóleo</v>
      </c>
      <c r="G64" s="6" t="s">
        <v>55</v>
      </c>
      <c r="H64" s="6" t="s">
        <v>96</v>
      </c>
      <c r="I64" s="9">
        <f>IF(H64="MJ",INDEX(Tabela1[Energia (MJ/Qtd.)],MATCH(C64,Tabela1[Fuel],0)),IF(H64="GJ",INDEX(Tabela1[Energia (GJ/Qtd.)2],MATCH(C64,Tabela1[Fuel],0)),"XXX"))</f>
        <v>3.5868000000000004E-2</v>
      </c>
      <c r="J64" s="211">
        <f>SUM(J24:J31)</f>
        <v>3667864929</v>
      </c>
      <c r="K64" s="212">
        <f>J64/SUM($J$64:$J$66)</f>
        <v>0.87713208240007123</v>
      </c>
      <c r="L64" s="211">
        <f>SUM(L24:L31)</f>
        <v>3658861735</v>
      </c>
      <c r="M64" s="212">
        <f>L64/SUM($L$64:$L$66)</f>
        <v>0.88898884704534187</v>
      </c>
    </row>
    <row r="65" spans="1:13" ht="15.75" thickBot="1" x14ac:dyDescent="0.3">
      <c r="A65" s="4" t="s">
        <v>46</v>
      </c>
      <c r="B65" s="7" t="s">
        <v>78</v>
      </c>
      <c r="C65" s="5" t="s">
        <v>3</v>
      </c>
      <c r="D65" s="6" t="s">
        <v>16</v>
      </c>
      <c r="E65" s="6" t="str">
        <f t="shared" si="8"/>
        <v>Pesado de Mercadorias N3: 20-28 t : Gasóleo : Geral</v>
      </c>
      <c r="F65" s="6" t="str">
        <f t="shared" si="9"/>
        <v>Pesado de Mercadorias N3: 20-28 t : Gasóleo</v>
      </c>
      <c r="G65" s="6" t="s">
        <v>55</v>
      </c>
      <c r="H65" s="6" t="s">
        <v>96</v>
      </c>
      <c r="I65" s="9">
        <f>IF(H65="MJ",INDEX(Tabela1[Energia (MJ/Qtd.)],MATCH(C65,Tabela1[Fuel],0)),IF(H65="GJ",INDEX(Tabela1[Energia (GJ/Qtd.)2],MATCH(C65,Tabela1[Fuel],0)),"XXX"))</f>
        <v>3.5868000000000004E-2</v>
      </c>
      <c r="J65" s="211">
        <f>SUM(J32:J39)</f>
        <v>271927865</v>
      </c>
      <c r="K65" s="212">
        <f t="shared" ref="K65:K66" si="13">J65/SUM($J$64:$J$66)</f>
        <v>6.5028745361973894E-2</v>
      </c>
      <c r="L65" s="211">
        <f>SUM(L32:L39)</f>
        <v>261096537</v>
      </c>
      <c r="M65" s="212">
        <f>L65/SUM($L$64:$L$66)</f>
        <v>6.3438283872500986E-2</v>
      </c>
    </row>
    <row r="66" spans="1:13" ht="15.75" thickBot="1" x14ac:dyDescent="0.3">
      <c r="A66" s="4" t="s">
        <v>46</v>
      </c>
      <c r="B66" s="7" t="s">
        <v>80</v>
      </c>
      <c r="C66" s="5" t="s">
        <v>3</v>
      </c>
      <c r="D66" s="6" t="s">
        <v>16</v>
      </c>
      <c r="E66" s="6" t="str">
        <f t="shared" si="8"/>
        <v>Pesado de Mercadorias N3: &gt;28 t : Gasóleo : Geral</v>
      </c>
      <c r="F66" s="6" t="str">
        <f t="shared" si="9"/>
        <v>Pesado de Mercadorias N3: &gt;28 t : Gasóleo</v>
      </c>
      <c r="G66" s="6" t="s">
        <v>55</v>
      </c>
      <c r="H66" s="6" t="s">
        <v>96</v>
      </c>
      <c r="I66" s="9">
        <f>IF(H66="MJ",INDEX(Tabela1[Energia (MJ/Qtd.)],MATCH(C66,Tabela1[Fuel],0)),IF(H66="GJ",INDEX(Tabela1[Energia (GJ/Qtd.)2],MATCH(C66,Tabela1[Fuel],0)),"XXX"))</f>
        <v>3.5868000000000004E-2</v>
      </c>
      <c r="J66" s="211">
        <f>SUM(J40:J47)</f>
        <v>241863541</v>
      </c>
      <c r="K66" s="212">
        <f t="shared" si="13"/>
        <v>5.7839172237954845E-2</v>
      </c>
      <c r="L66" s="211">
        <f>SUM(L40:L47)</f>
        <v>195798351</v>
      </c>
      <c r="M66" s="212">
        <f>L66/SUM($L$64:$L$66)</f>
        <v>4.7572869082157097E-2</v>
      </c>
    </row>
    <row r="67" spans="1:13" ht="15.75" thickBot="1" x14ac:dyDescent="0.3">
      <c r="A67" s="4" t="s">
        <v>2</v>
      </c>
      <c r="B67" s="7" t="s">
        <v>13</v>
      </c>
      <c r="C67" s="5" t="s">
        <v>3</v>
      </c>
      <c r="D67" s="6" t="s">
        <v>16</v>
      </c>
      <c r="E67" s="6" t="str">
        <f t="shared" si="8"/>
        <v>Pesado de Passageiros M3: I : Gasóleo : Geral</v>
      </c>
      <c r="F67" s="6" t="str">
        <f t="shared" si="9"/>
        <v>Pesado de Passageiros M3: I : Gasóleo</v>
      </c>
      <c r="G67" s="6" t="s">
        <v>55</v>
      </c>
      <c r="H67" s="6" t="s">
        <v>96</v>
      </c>
      <c r="I67" s="9">
        <f>IF(H67="MJ",INDEX(Tabela1[Energia (MJ/Qtd.)],MATCH(C67,Tabela1[Fuel],0)),IF(H67="GJ",INDEX(Tabela1[Energia (GJ/Qtd.)2],MATCH(C67,Tabela1[Fuel],0)),"XXX"))</f>
        <v>3.5868000000000004E-2</v>
      </c>
      <c r="J67" s="211">
        <f>SUM(J2:J9)</f>
        <v>369637907</v>
      </c>
      <c r="K67" s="212">
        <f>J67/(J67+J68)</f>
        <v>0.89882474876437923</v>
      </c>
      <c r="L67" s="211">
        <f>SUM(L2:L9)</f>
        <v>294771677</v>
      </c>
      <c r="M67" s="212">
        <f>L67/(L67+L68)</f>
        <v>0.87454036756025622</v>
      </c>
    </row>
    <row r="68" spans="1:13" ht="15.75" thickBot="1" x14ac:dyDescent="0.3">
      <c r="A68" s="4" t="s">
        <v>2</v>
      </c>
      <c r="B68" s="7" t="s">
        <v>14</v>
      </c>
      <c r="C68" s="5" t="s">
        <v>3</v>
      </c>
      <c r="D68" s="6" t="s">
        <v>16</v>
      </c>
      <c r="E68" s="6" t="str">
        <f t="shared" si="8"/>
        <v>Pesado de Passageiros M3: III : Gasóleo : Geral</v>
      </c>
      <c r="F68" s="6" t="str">
        <f t="shared" si="9"/>
        <v>Pesado de Passageiros M3: III : Gasóleo</v>
      </c>
      <c r="G68" s="6" t="s">
        <v>55</v>
      </c>
      <c r="H68" s="6" t="s">
        <v>96</v>
      </c>
      <c r="I68" s="9">
        <f>IF(H68="MJ",INDEX(Tabela1[Energia (MJ/Qtd.)],MATCH(C68,Tabela1[Fuel],0)),IF(H68="GJ",INDEX(Tabela1[Energia (GJ/Qtd.)2],MATCH(C68,Tabela1[Fuel],0)),"XXX"))</f>
        <v>3.5868000000000004E-2</v>
      </c>
      <c r="J68" s="211">
        <f>SUM(J16:J23)</f>
        <v>41607897.600000001</v>
      </c>
      <c r="K68" s="212">
        <f>J68/(J68+J67)</f>
        <v>0.10117525123562075</v>
      </c>
      <c r="L68" s="211">
        <f>SUM(L16:L23)</f>
        <v>42287294.700000003</v>
      </c>
      <c r="M68" s="212">
        <f>L68/(L68+L67)</f>
        <v>0.12545963243974378</v>
      </c>
    </row>
  </sheetData>
  <dataValidations count="4">
    <dataValidation type="list" allowBlank="1" showInputMessage="1" showErrorMessage="1" sqref="C10:C15">
      <formula1>"Gasóleo, Gasolina, GPL, GNC, GNL, Butano, Propano, H2"</formula1>
    </dataValidation>
    <dataValidation type="list" allowBlank="1" showInputMessage="1" showErrorMessage="1" sqref="C16:C23 C2:C9 C48:C55 C67:C68">
      <formula1>"Gasóleo, Gasolina, GPL, GNC, GNV, Butano, Propano, H2"</formula1>
    </dataValidation>
    <dataValidation type="list" allowBlank="1" showInputMessage="1" showErrorMessage="1" sqref="B2:B23 B48:B63 B67:B68">
      <formula1>"I, II, III, Geral"</formula1>
    </dataValidation>
    <dataValidation type="list" allowBlank="1" showInputMessage="1" showErrorMessage="1" sqref="A2:A68">
      <formula1>"Pesado de Passageiros M3, Pesado de Passageiros M2, Ligeiro de Passageiros M1, Pesado de Mercadorias N3, Pesado de Mercadorias N2, Ligeiro de Mercadorias N1, Misto"</formula1>
    </dataValidation>
  </dataValidations>
  <pageMargins left="0.7" right="0.7" top="0.75" bottom="0.75" header="0.3" footer="0.3"/>
  <customProperties>
    <customPr name="GUID" r:id="rId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4"/>
  <dimension ref="A1:C29"/>
  <sheetViews>
    <sheetView workbookViewId="0"/>
  </sheetViews>
  <sheetFormatPr defaultRowHeight="15" x14ac:dyDescent="0.25"/>
  <cols>
    <col min="1" max="2" width="18.140625" customWidth="1"/>
    <col min="3" max="3" width="20.85546875" bestFit="1" customWidth="1"/>
  </cols>
  <sheetData>
    <row r="1" spans="1:3" x14ac:dyDescent="0.25">
      <c r="A1" t="s">
        <v>489</v>
      </c>
      <c r="B1" t="s">
        <v>649</v>
      </c>
      <c r="C1" t="s">
        <v>652</v>
      </c>
    </row>
    <row r="2" spans="1:3" x14ac:dyDescent="0.25">
      <c r="A2" t="s">
        <v>650</v>
      </c>
      <c r="B2">
        <v>1</v>
      </c>
      <c r="C2" t="str">
        <f>"1 " &amp; LEFT(A2,FIND("/",A2)-1) &amp;" = " &amp; B2 &amp;" " &amp;RIGHT(A2,LEN(A2)-FIND("/",A2))</f>
        <v>1 l = 1 l</v>
      </c>
    </row>
    <row r="3" spans="1:3" x14ac:dyDescent="0.25">
      <c r="A3" t="s">
        <v>651</v>
      </c>
      <c r="B3">
        <v>1000</v>
      </c>
      <c r="C3" t="str">
        <f>"1 " &amp; LEFT(A3,FIND("/",A3)-1) &amp;" = " &amp; B3 &amp;" " &amp;RIGHT(A3,LEN(A3)-FIND("/",A3))</f>
        <v>1 m3 = 1000 l</v>
      </c>
    </row>
    <row r="4" spans="1:3" x14ac:dyDescent="0.25">
      <c r="A4" t="s">
        <v>653</v>
      </c>
      <c r="B4">
        <v>1000</v>
      </c>
      <c r="C4" t="str">
        <f t="shared" ref="C4:C29" si="0">"1 " &amp; LEFT(A4,FIND("/",A4)-1) &amp;" = " &amp; B4 &amp;" " &amp;RIGHT(A4,LEN(A4)-FIND("/",A4))</f>
        <v>1 kg = 1000 g</v>
      </c>
    </row>
    <row r="5" spans="1:3" x14ac:dyDescent="0.25">
      <c r="A5" t="s">
        <v>654</v>
      </c>
      <c r="B5">
        <v>1</v>
      </c>
      <c r="C5" t="str">
        <f t="shared" si="0"/>
        <v>1 kg = 1 kg</v>
      </c>
    </row>
    <row r="6" spans="1:3" x14ac:dyDescent="0.25">
      <c r="A6" t="s">
        <v>655</v>
      </c>
      <c r="B6">
        <v>1</v>
      </c>
      <c r="C6" t="str">
        <f t="shared" si="0"/>
        <v>1 g = 1 g</v>
      </c>
    </row>
    <row r="7" spans="1:3" x14ac:dyDescent="0.25">
      <c r="A7" t="s">
        <v>656</v>
      </c>
      <c r="B7">
        <v>1000</v>
      </c>
      <c r="C7" t="str">
        <f t="shared" si="0"/>
        <v>1 ton = 1000 kg</v>
      </c>
    </row>
    <row r="8" spans="1:3" x14ac:dyDescent="0.25">
      <c r="A8" t="s">
        <v>669</v>
      </c>
      <c r="B8">
        <v>1</v>
      </c>
      <c r="C8" t="str">
        <f t="shared" si="0"/>
        <v>1 ton = 1 ton</v>
      </c>
    </row>
    <row r="9" spans="1:3" x14ac:dyDescent="0.25">
      <c r="A9" t="s">
        <v>670</v>
      </c>
      <c r="B9">
        <v>1</v>
      </c>
      <c r="C9" t="str">
        <f t="shared" si="0"/>
        <v>1 ton = 1 tonne</v>
      </c>
    </row>
    <row r="10" spans="1:3" x14ac:dyDescent="0.25">
      <c r="A10" t="s">
        <v>668</v>
      </c>
      <c r="B10">
        <v>1000</v>
      </c>
      <c r="C10" t="str">
        <f t="shared" si="0"/>
        <v>1 tonne = 1000 kg</v>
      </c>
    </row>
    <row r="11" spans="1:3" x14ac:dyDescent="0.25">
      <c r="A11" t="s">
        <v>671</v>
      </c>
      <c r="B11">
        <v>1000000</v>
      </c>
      <c r="C11" t="str">
        <f t="shared" si="0"/>
        <v>1 tonne = 1000000 g</v>
      </c>
    </row>
    <row r="12" spans="1:3" x14ac:dyDescent="0.25">
      <c r="A12" t="s">
        <v>672</v>
      </c>
      <c r="B12">
        <v>1</v>
      </c>
      <c r="C12" t="str">
        <f t="shared" si="0"/>
        <v>1 tonne = 1 tonne</v>
      </c>
    </row>
    <row r="13" spans="1:3" x14ac:dyDescent="0.25">
      <c r="A13" t="s">
        <v>673</v>
      </c>
      <c r="B13">
        <v>1</v>
      </c>
      <c r="C13" t="str">
        <f t="shared" si="0"/>
        <v>1 tonne = 1 ton</v>
      </c>
    </row>
    <row r="14" spans="1:3" x14ac:dyDescent="0.25">
      <c r="A14" t="s">
        <v>657</v>
      </c>
      <c r="B14">
        <v>1000000</v>
      </c>
      <c r="C14" t="str">
        <f t="shared" si="0"/>
        <v>1 ton = 1000000 g</v>
      </c>
    </row>
    <row r="15" spans="1:3" x14ac:dyDescent="0.25">
      <c r="A15" t="s">
        <v>658</v>
      </c>
      <c r="B15">
        <v>1000</v>
      </c>
      <c r="C15" t="str">
        <f t="shared" si="0"/>
        <v>1 km = 1000 m</v>
      </c>
    </row>
    <row r="16" spans="1:3" x14ac:dyDescent="0.25">
      <c r="A16" t="s">
        <v>659</v>
      </c>
      <c r="B16">
        <v>1</v>
      </c>
      <c r="C16" t="str">
        <f t="shared" si="0"/>
        <v>1 km = 1 km</v>
      </c>
    </row>
    <row r="17" spans="1:3" x14ac:dyDescent="0.25">
      <c r="A17" t="s">
        <v>660</v>
      </c>
      <c r="B17">
        <v>1</v>
      </c>
      <c r="C17" t="str">
        <f t="shared" si="0"/>
        <v>1 m = 1 m</v>
      </c>
    </row>
    <row r="18" spans="1:3" x14ac:dyDescent="0.25">
      <c r="A18" t="s">
        <v>681</v>
      </c>
      <c r="B18">
        <f>1/1000</f>
        <v>1E-3</v>
      </c>
      <c r="C18" t="str">
        <f t="shared" si="0"/>
        <v>1 g = 0,001 kg</v>
      </c>
    </row>
    <row r="19" spans="1:3" x14ac:dyDescent="0.25">
      <c r="A19" t="s">
        <v>682</v>
      </c>
      <c r="B19">
        <f>1/1000000</f>
        <v>9.9999999999999995E-7</v>
      </c>
      <c r="C19" t="str">
        <f t="shared" si="0"/>
        <v>1 g = 0,000001 ton</v>
      </c>
    </row>
    <row r="20" spans="1:3" x14ac:dyDescent="0.25">
      <c r="A20" t="s">
        <v>770</v>
      </c>
      <c r="B20">
        <v>1</v>
      </c>
      <c r="C20" t="str">
        <f t="shared" si="0"/>
        <v>1 tonne.km = 1 tonne.km</v>
      </c>
    </row>
    <row r="21" spans="1:3" x14ac:dyDescent="0.25">
      <c r="A21" t="s">
        <v>771</v>
      </c>
      <c r="B21">
        <v>1000</v>
      </c>
      <c r="C21" t="str">
        <f t="shared" si="0"/>
        <v>1 tonne.km = 1000 kg.km</v>
      </c>
    </row>
    <row r="22" spans="1:3" x14ac:dyDescent="0.25">
      <c r="A22" t="s">
        <v>772</v>
      </c>
      <c r="B22">
        <v>1</v>
      </c>
      <c r="C22" t="str">
        <f t="shared" si="0"/>
        <v>1 kg.km = 1 kg.km</v>
      </c>
    </row>
    <row r="23" spans="1:3" x14ac:dyDescent="0.25">
      <c r="A23" t="s">
        <v>773</v>
      </c>
      <c r="B23">
        <v>1E-3</v>
      </c>
      <c r="C23" t="str">
        <f t="shared" si="0"/>
        <v>1 kg.km = 0,001 tonne.km</v>
      </c>
    </row>
    <row r="24" spans="1:3" x14ac:dyDescent="0.25">
      <c r="A24" t="s">
        <v>774</v>
      </c>
      <c r="B24">
        <v>1</v>
      </c>
      <c r="C24" t="str">
        <f t="shared" si="0"/>
        <v>1 ton.km = 1 ton.km</v>
      </c>
    </row>
    <row r="25" spans="1:3" x14ac:dyDescent="0.25">
      <c r="A25" t="s">
        <v>775</v>
      </c>
      <c r="B25">
        <v>1000</v>
      </c>
      <c r="C25" t="str">
        <f t="shared" si="0"/>
        <v>1 ton.km = 1000 kg.km</v>
      </c>
    </row>
    <row r="26" spans="1:3" x14ac:dyDescent="0.25">
      <c r="A26" t="s">
        <v>776</v>
      </c>
      <c r="B26">
        <v>1E-3</v>
      </c>
      <c r="C26" t="str">
        <f t="shared" si="0"/>
        <v>1 kg.km = 0,001 ton.km</v>
      </c>
    </row>
    <row r="27" spans="1:3" x14ac:dyDescent="0.25">
      <c r="A27" t="s">
        <v>777</v>
      </c>
      <c r="B27">
        <v>1</v>
      </c>
      <c r="C27" t="str">
        <f t="shared" si="0"/>
        <v>1 Unidade = 1 Unidade</v>
      </c>
    </row>
    <row r="28" spans="1:3" x14ac:dyDescent="0.25">
      <c r="A28" t="s">
        <v>778</v>
      </c>
      <c r="B28">
        <v>1</v>
      </c>
      <c r="C28" t="str">
        <f t="shared" si="0"/>
        <v>1 Unid. = 1 Unid.</v>
      </c>
    </row>
    <row r="29" spans="1:3" x14ac:dyDescent="0.25">
      <c r="A29" t="s">
        <v>792</v>
      </c>
      <c r="B29">
        <v>1</v>
      </c>
      <c r="C29" t="str">
        <f t="shared" si="0"/>
        <v>1 Nm3 = 1 Nm3</v>
      </c>
    </row>
  </sheetData>
  <pageMargins left="0.7" right="0.7" top="0.75" bottom="0.75" header="0.3" footer="0.3"/>
  <customProperties>
    <customPr name="GUID" r:id="rId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F12" sqref="F12"/>
    </sheetView>
  </sheetViews>
  <sheetFormatPr defaultRowHeight="15" x14ac:dyDescent="0.25"/>
  <cols>
    <col min="1" max="1" width="67.140625" customWidth="1"/>
    <col min="2" max="2" width="32.85546875" customWidth="1"/>
    <col min="3" max="3" width="95.5703125" bestFit="1" customWidth="1"/>
  </cols>
  <sheetData>
    <row r="1" spans="1:3" ht="18.75" x14ac:dyDescent="0.25">
      <c r="A1" s="336" t="s">
        <v>1292</v>
      </c>
      <c r="B1" s="336" t="s">
        <v>1293</v>
      </c>
      <c r="C1" s="336" t="s">
        <v>415</v>
      </c>
    </row>
    <row r="2" spans="1:3" ht="15.75" x14ac:dyDescent="0.25">
      <c r="A2" s="395" t="s">
        <v>1294</v>
      </c>
      <c r="B2" s="396">
        <v>119</v>
      </c>
      <c r="C2" s="397" t="s">
        <v>1305</v>
      </c>
    </row>
    <row r="3" spans="1:3" ht="15.75" x14ac:dyDescent="0.25">
      <c r="A3" s="395" t="s">
        <v>1295</v>
      </c>
      <c r="B3" s="396">
        <v>72</v>
      </c>
      <c r="C3" s="397" t="s">
        <v>1306</v>
      </c>
    </row>
    <row r="4" spans="1:3" ht="15.75" x14ac:dyDescent="0.25">
      <c r="A4" s="395" t="s">
        <v>1296</v>
      </c>
      <c r="B4" s="396">
        <v>79</v>
      </c>
      <c r="C4" s="397" t="s">
        <v>1307</v>
      </c>
    </row>
    <row r="5" spans="1:3" ht="15.75" x14ac:dyDescent="0.25">
      <c r="A5" s="395" t="s">
        <v>1297</v>
      </c>
      <c r="B5" s="396">
        <v>47</v>
      </c>
      <c r="C5" s="397" t="s">
        <v>1308</v>
      </c>
    </row>
    <row r="6" spans="1:3" ht="15.75" x14ac:dyDescent="0.25">
      <c r="A6" s="395" t="s">
        <v>1298</v>
      </c>
      <c r="B6" s="396">
        <v>112</v>
      </c>
      <c r="C6" s="397" t="s">
        <v>1309</v>
      </c>
    </row>
    <row r="7" spans="1:3" ht="15.75" x14ac:dyDescent="0.25">
      <c r="A7" s="395" t="s">
        <v>1299</v>
      </c>
      <c r="B7" s="396">
        <v>73</v>
      </c>
      <c r="C7" s="397" t="s">
        <v>1310</v>
      </c>
    </row>
    <row r="8" spans="1:3" ht="15.75" x14ac:dyDescent="0.25">
      <c r="A8" s="395" t="s">
        <v>1300</v>
      </c>
      <c r="B8" s="396">
        <v>251</v>
      </c>
      <c r="C8" s="397" t="s">
        <v>1311</v>
      </c>
    </row>
    <row r="9" spans="1:3" ht="15.75" x14ac:dyDescent="0.25">
      <c r="A9" s="395" t="s">
        <v>1301</v>
      </c>
      <c r="B9" s="396">
        <v>56</v>
      </c>
      <c r="C9" s="397" t="s">
        <v>1312</v>
      </c>
    </row>
    <row r="10" spans="1:3" ht="15.75" x14ac:dyDescent="0.25">
      <c r="A10" s="395" t="s">
        <v>1302</v>
      </c>
      <c r="B10" s="396">
        <v>135</v>
      </c>
      <c r="C10" s="397" t="s">
        <v>1313</v>
      </c>
    </row>
    <row r="11" spans="1:3" ht="15.75" x14ac:dyDescent="0.25">
      <c r="A11" s="395" t="s">
        <v>1303</v>
      </c>
      <c r="B11" s="396">
        <v>97</v>
      </c>
      <c r="C11" s="397" t="s">
        <v>1314</v>
      </c>
    </row>
    <row r="12" spans="1:3" ht="15.75" x14ac:dyDescent="0.25">
      <c r="A12" s="395" t="s">
        <v>1304</v>
      </c>
      <c r="B12" s="396">
        <v>128</v>
      </c>
      <c r="C12" s="397" t="s">
        <v>1315</v>
      </c>
    </row>
    <row r="13" spans="1:3" ht="15.75" x14ac:dyDescent="0.25">
      <c r="A13" s="375"/>
    </row>
  </sheetData>
  <pageMargins left="0.7" right="0.7" top="0.75" bottom="0.75" header="0.3" footer="0.3"/>
  <customProperties>
    <customPr name="GUI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5"/>
  <dimension ref="A1:C9"/>
  <sheetViews>
    <sheetView workbookViewId="0">
      <selection activeCell="H56" sqref="H56"/>
    </sheetView>
  </sheetViews>
  <sheetFormatPr defaultRowHeight="15" x14ac:dyDescent="0.25"/>
  <cols>
    <col min="1" max="2" width="18.140625" customWidth="1"/>
    <col min="3" max="3" width="20.85546875" bestFit="1" customWidth="1"/>
  </cols>
  <sheetData>
    <row r="1" spans="1:3" x14ac:dyDescent="0.25">
      <c r="A1" t="s">
        <v>489</v>
      </c>
      <c r="B1" t="s">
        <v>649</v>
      </c>
      <c r="C1" t="s">
        <v>652</v>
      </c>
    </row>
    <row r="2" spans="1:3" x14ac:dyDescent="0.25">
      <c r="A2" t="s">
        <v>661</v>
      </c>
      <c r="B2">
        <v>1</v>
      </c>
      <c r="C2" t="str">
        <f t="shared" ref="C2:C9" si="0">"1 " &amp; LEFT(A2,FIND("/",A2)-1) &amp;" = " &amp; B2 &amp;" " &amp;RIGHT(A2,LEN(A2)-FIND("/",A2))</f>
        <v>1 kWh = 1 kWh</v>
      </c>
    </row>
    <row r="3" spans="1:3" x14ac:dyDescent="0.25">
      <c r="A3" t="s">
        <v>662</v>
      </c>
      <c r="B3">
        <v>1000</v>
      </c>
      <c r="C3" t="str">
        <f t="shared" si="0"/>
        <v>1 MWh = 1000 kWh</v>
      </c>
    </row>
    <row r="4" spans="1:3" x14ac:dyDescent="0.25">
      <c r="A4" t="s">
        <v>666</v>
      </c>
      <c r="B4">
        <v>1</v>
      </c>
      <c r="C4" t="str">
        <f t="shared" si="0"/>
        <v>1 MWh = 1 MWh</v>
      </c>
    </row>
    <row r="5" spans="1:3" x14ac:dyDescent="0.25">
      <c r="A5" t="s">
        <v>663</v>
      </c>
      <c r="B5">
        <v>1000000</v>
      </c>
      <c r="C5" t="str">
        <f t="shared" si="0"/>
        <v>1 GWh = 1000000 kWh</v>
      </c>
    </row>
    <row r="6" spans="1:3" x14ac:dyDescent="0.25">
      <c r="A6" t="s">
        <v>664</v>
      </c>
      <c r="B6">
        <v>1000</v>
      </c>
      <c r="C6" t="str">
        <f t="shared" si="0"/>
        <v>1 GWh = 1000 MWh</v>
      </c>
    </row>
    <row r="7" spans="1:3" x14ac:dyDescent="0.25">
      <c r="A7" t="s">
        <v>665</v>
      </c>
      <c r="B7">
        <v>1</v>
      </c>
      <c r="C7" t="str">
        <f t="shared" si="0"/>
        <v>1 GWh = 1 GWh</v>
      </c>
    </row>
    <row r="8" spans="1:3" x14ac:dyDescent="0.25">
      <c r="A8" t="s">
        <v>674</v>
      </c>
      <c r="B8">
        <f>1/1000</f>
        <v>1E-3</v>
      </c>
      <c r="C8" t="str">
        <f t="shared" si="0"/>
        <v>1 kWh = 0,001 MWh</v>
      </c>
    </row>
    <row r="9" spans="1:3" x14ac:dyDescent="0.25">
      <c r="A9" t="s">
        <v>675</v>
      </c>
      <c r="B9">
        <f>1/1000000</f>
        <v>9.9999999999999995E-7</v>
      </c>
      <c r="C9" t="str">
        <f t="shared" si="0"/>
        <v>1 kWh = 0,000001 GWh</v>
      </c>
    </row>
  </sheetData>
  <pageMargins left="0.7" right="0.7" top="0.75" bottom="0.75" header="0.3" footer="0.3"/>
  <customProperties>
    <customPr name="GUID" r:id="rId1"/>
  </customPropertie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lha6"/>
  <dimension ref="A2:M12"/>
  <sheetViews>
    <sheetView workbookViewId="0"/>
  </sheetViews>
  <sheetFormatPr defaultRowHeight="15" x14ac:dyDescent="0.25"/>
  <sheetData>
    <row r="2" spans="1:13" x14ac:dyDescent="0.25">
      <c r="A2" s="398" t="s">
        <v>147</v>
      </c>
      <c r="B2" s="40" t="s">
        <v>131</v>
      </c>
      <c r="C2" s="42">
        <v>3015.6546161073829</v>
      </c>
      <c r="D2" s="401" t="s">
        <v>147</v>
      </c>
      <c r="E2" s="40" t="s">
        <v>131</v>
      </c>
      <c r="F2" s="90">
        <v>733.64436000000001</v>
      </c>
      <c r="G2" s="401" t="s">
        <v>147</v>
      </c>
      <c r="H2" s="40" t="s">
        <v>131</v>
      </c>
      <c r="I2" s="200">
        <v>163.82</v>
      </c>
    </row>
    <row r="3" spans="1:13" x14ac:dyDescent="0.25">
      <c r="A3" s="399"/>
      <c r="B3" s="40" t="s">
        <v>132</v>
      </c>
      <c r="C3" s="42">
        <v>2.5120638845637586</v>
      </c>
      <c r="D3" s="401"/>
      <c r="E3" s="40" t="s">
        <v>132</v>
      </c>
      <c r="F3" s="90">
        <v>0.61101000000000005</v>
      </c>
      <c r="G3" s="401"/>
      <c r="H3" s="40" t="s">
        <v>132</v>
      </c>
      <c r="I3" s="200">
        <v>0.14000000000000001</v>
      </c>
      <c r="K3" s="157">
        <f>C3+F3+I3</f>
        <v>3.263073884563759</v>
      </c>
    </row>
    <row r="4" spans="1:13" x14ac:dyDescent="0.25">
      <c r="A4" s="399"/>
      <c r="B4" s="40" t="s">
        <v>133</v>
      </c>
      <c r="C4" s="42">
        <v>0.2540927610738255</v>
      </c>
      <c r="D4" s="401"/>
      <c r="E4" s="40" t="s">
        <v>133</v>
      </c>
      <c r="F4" s="90">
        <v>6.1809999999999997E-2</v>
      </c>
      <c r="G4" s="401"/>
      <c r="H4" s="40" t="s">
        <v>184</v>
      </c>
      <c r="I4" s="200">
        <v>0.01</v>
      </c>
    </row>
    <row r="5" spans="1:13" x14ac:dyDescent="0.25">
      <c r="A5" s="400"/>
      <c r="B5" s="40" t="s">
        <v>134</v>
      </c>
      <c r="C5" s="42">
        <v>0.2390759234899329</v>
      </c>
      <c r="D5" s="401"/>
      <c r="E5" s="40" t="s">
        <v>134</v>
      </c>
      <c r="F5" s="90">
        <v>5.8160000000000003E-2</v>
      </c>
    </row>
    <row r="7" spans="1:13" x14ac:dyDescent="0.25">
      <c r="A7" s="401" t="s">
        <v>174</v>
      </c>
      <c r="B7" s="40" t="s">
        <v>132</v>
      </c>
      <c r="C7" s="43">
        <v>3.5580000000000001E-2</v>
      </c>
      <c r="D7" s="398" t="s">
        <v>174</v>
      </c>
      <c r="E7" s="40" t="s">
        <v>132</v>
      </c>
      <c r="F7" s="198">
        <v>0.27844000000000002</v>
      </c>
      <c r="G7" s="401" t="s">
        <v>174</v>
      </c>
      <c r="H7" s="40" t="s">
        <v>132</v>
      </c>
      <c r="I7" s="199">
        <v>2.4300000000000002</v>
      </c>
      <c r="K7" s="201">
        <f>C7+F7+I7</f>
        <v>2.7440200000000003</v>
      </c>
    </row>
    <row r="8" spans="1:13" x14ac:dyDescent="0.25">
      <c r="A8" s="401"/>
      <c r="B8" s="40" t="s">
        <v>96</v>
      </c>
      <c r="C8" s="43">
        <v>1.03677</v>
      </c>
      <c r="D8" s="399"/>
      <c r="E8" s="40" t="s">
        <v>96</v>
      </c>
      <c r="F8" s="72">
        <v>8.1131399999999996</v>
      </c>
      <c r="G8" s="401"/>
      <c r="H8" s="40" t="s">
        <v>96</v>
      </c>
      <c r="I8" s="199">
        <v>70.83</v>
      </c>
    </row>
    <row r="9" spans="1:13" x14ac:dyDescent="0.25">
      <c r="A9" s="401"/>
      <c r="B9" s="40" t="s">
        <v>57</v>
      </c>
      <c r="C9" s="43">
        <v>4.5620000000000001E-2</v>
      </c>
      <c r="D9" s="400"/>
      <c r="E9" s="40" t="s">
        <v>57</v>
      </c>
      <c r="F9" s="198">
        <v>0.35698000000000002</v>
      </c>
      <c r="G9" s="401"/>
      <c r="H9" s="40" t="s">
        <v>57</v>
      </c>
      <c r="I9" s="199">
        <v>3.12</v>
      </c>
    </row>
    <row r="11" spans="1:13" x14ac:dyDescent="0.25">
      <c r="C11">
        <f>C7/C3</f>
        <v>1.4163652532339468E-2</v>
      </c>
      <c r="F11">
        <f>F7/F3</f>
        <v>0.45570448928822771</v>
      </c>
      <c r="K11">
        <f>K7/K3</f>
        <v>0.84093100465202886</v>
      </c>
      <c r="L11">
        <f>K11*1.05</f>
        <v>0.88297755488463037</v>
      </c>
      <c r="M11">
        <f>K11*1.1</f>
        <v>0.92502410511723177</v>
      </c>
    </row>
    <row r="12" spans="1:13" x14ac:dyDescent="0.25">
      <c r="F12">
        <f>(F7+C7)/(C3+F3)</f>
        <v>0.10054837368788774</v>
      </c>
    </row>
  </sheetData>
  <mergeCells count="6">
    <mergeCell ref="A2:A5"/>
    <mergeCell ref="A7:A9"/>
    <mergeCell ref="D2:D5"/>
    <mergeCell ref="D7:D9"/>
    <mergeCell ref="G7:G9"/>
    <mergeCell ref="G2:G4"/>
  </mergeCells>
  <pageMargins left="0.7" right="0.7" top="0.75" bottom="0.75" header="0.3" footer="0.3"/>
  <customProperties>
    <customPr name="GUID" r:id="rId1"/>
  </customPropertie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7"/>
  <dimension ref="A1:N18"/>
  <sheetViews>
    <sheetView workbookViewId="0">
      <selection activeCell="F12" sqref="F12"/>
    </sheetView>
  </sheetViews>
  <sheetFormatPr defaultRowHeight="15" x14ac:dyDescent="0.25"/>
  <cols>
    <col min="1" max="1" width="18.140625" customWidth="1"/>
    <col min="2" max="2" width="20.7109375" customWidth="1"/>
    <col min="3" max="3" width="24.42578125" customWidth="1"/>
    <col min="4" max="4" width="7" customWidth="1"/>
    <col min="5" max="5" width="21.7109375" customWidth="1"/>
    <col min="6" max="7" width="18.85546875" customWidth="1"/>
    <col min="8" max="8" width="19.7109375" customWidth="1"/>
    <col min="9" max="9" width="18.85546875" customWidth="1"/>
    <col min="10" max="10" width="11.140625" customWidth="1"/>
    <col min="11" max="11" width="11.28515625" customWidth="1"/>
    <col min="14" max="14" width="30.42578125" style="237" bestFit="1" customWidth="1"/>
  </cols>
  <sheetData>
    <row r="1" spans="1:14" x14ac:dyDescent="0.25">
      <c r="A1" s="10" t="s">
        <v>82</v>
      </c>
      <c r="B1" s="10" t="s">
        <v>83</v>
      </c>
      <c r="C1" s="10" t="s">
        <v>84</v>
      </c>
      <c r="D1" s="10" t="s">
        <v>85</v>
      </c>
      <c r="E1" s="10" t="s">
        <v>86</v>
      </c>
      <c r="F1" s="10" t="s">
        <v>87</v>
      </c>
      <c r="G1" s="10" t="s">
        <v>97</v>
      </c>
      <c r="H1" s="229" t="s">
        <v>817</v>
      </c>
      <c r="I1" s="229" t="s">
        <v>818</v>
      </c>
      <c r="J1" s="10" t="s">
        <v>88</v>
      </c>
      <c r="K1" s="10" t="s">
        <v>89</v>
      </c>
      <c r="L1" s="10" t="s">
        <v>90</v>
      </c>
      <c r="M1" s="10" t="s">
        <v>91</v>
      </c>
      <c r="N1" s="236" t="s">
        <v>683</v>
      </c>
    </row>
    <row r="2" spans="1:14" x14ac:dyDescent="0.25">
      <c r="A2" s="10" t="s">
        <v>42</v>
      </c>
      <c r="B2" s="18">
        <v>43.77</v>
      </c>
      <c r="C2" s="18">
        <v>750</v>
      </c>
      <c r="D2" s="18" t="s">
        <v>55</v>
      </c>
      <c r="E2" s="20">
        <f>Tabela1[[#This Row],[Densidade (kg/m3)]]/1000</f>
        <v>0.75</v>
      </c>
      <c r="F2" s="20">
        <f>Tabela1[[#This Row],[Densidade kg/Qtd.]]*Tabela1[[#This Row],[Energia (MJ/kg)]]</f>
        <v>32.827500000000001</v>
      </c>
      <c r="G2" s="20">
        <f>Tabela1[[#This Row],[Energia (MJ/Qtd.)]]/1000</f>
        <v>3.2827500000000003E-2</v>
      </c>
      <c r="H2" s="140">
        <f>Tabela1[[#This Row],[Energia (kWh/Qtd.)]]/11630</f>
        <v>7.8407136715391232E-4</v>
      </c>
      <c r="I2" s="20">
        <f>Tabela1[[#This Row],[Energia (MJ/Qtd.)]]/3.6</f>
        <v>9.1187500000000004</v>
      </c>
      <c r="J2" s="18">
        <v>1.86</v>
      </c>
      <c r="K2" s="18">
        <v>0</v>
      </c>
      <c r="L2" s="19">
        <v>1</v>
      </c>
      <c r="M2" s="11"/>
      <c r="N2" s="236" t="str">
        <f>"APA NIR 2023: "&amp;Tabela1[[#This Row],[Fuel]]&amp;": "&amp;Tabela1[[#This Row],[Qtd.]]</f>
        <v>APA NIR 2023: Gasolina: l</v>
      </c>
    </row>
    <row r="3" spans="1:14" x14ac:dyDescent="0.25">
      <c r="A3" s="10" t="s">
        <v>3</v>
      </c>
      <c r="B3" s="18">
        <v>42.7</v>
      </c>
      <c r="C3" s="18">
        <v>840</v>
      </c>
      <c r="D3" s="18" t="s">
        <v>55</v>
      </c>
      <c r="E3" s="20">
        <f>Tabela1[[#This Row],[Densidade (kg/m3)]]/1000</f>
        <v>0.84</v>
      </c>
      <c r="F3" s="20">
        <f>Tabela1[[#This Row],[Densidade kg/Qtd.]]*Tabela1[[#This Row],[Energia (MJ/kg)]]</f>
        <v>35.868000000000002</v>
      </c>
      <c r="G3" s="20">
        <f>Tabela1[[#This Row],[Energia (MJ/Qtd.)]]/1000</f>
        <v>3.5868000000000004E-2</v>
      </c>
      <c r="H3" s="140">
        <f>Tabela1[[#This Row],[Energia (kWh/Qtd.)]]/11630</f>
        <v>8.566924620235024E-4</v>
      </c>
      <c r="I3" s="20">
        <f>Tabela1[[#This Row],[Energia (MJ/Qtd.)]]/3.6</f>
        <v>9.9633333333333329</v>
      </c>
      <c r="J3" s="18">
        <v>1.86</v>
      </c>
      <c r="K3" s="18">
        <v>0</v>
      </c>
      <c r="L3" s="19">
        <v>1</v>
      </c>
      <c r="M3" s="11"/>
      <c r="N3" s="236" t="str">
        <f>"APA NIR 2023: "&amp;Tabela1[[#This Row],[Fuel]]&amp;": "&amp;Tabela1[[#This Row],[Qtd.]]</f>
        <v>APA NIR 2023: Gasóleo: l</v>
      </c>
    </row>
    <row r="4" spans="1:14" x14ac:dyDescent="0.25">
      <c r="A4" s="10" t="s">
        <v>44</v>
      </c>
      <c r="B4" s="18">
        <v>46.56</v>
      </c>
      <c r="C4" s="18">
        <v>520</v>
      </c>
      <c r="D4" s="18" t="s">
        <v>57</v>
      </c>
      <c r="E4" s="20">
        <v>1</v>
      </c>
      <c r="F4" s="20">
        <f>Tabela1[[#This Row],[Densidade kg/Qtd.]]*Tabela1[[#This Row],[Energia (MJ/kg)]]</f>
        <v>46.56</v>
      </c>
      <c r="G4" s="20">
        <f>Tabela1[[#This Row],[Energia (MJ/Qtd.)]]/1000</f>
        <v>4.6560000000000004E-2</v>
      </c>
      <c r="H4" s="140">
        <f>Tabela1[[#This Row],[Energia (kWh/Qtd.)]]/11630</f>
        <v>1.1120664946976211E-3</v>
      </c>
      <c r="I4" s="20">
        <f>Tabela1[[#This Row],[Energia (MJ/Qtd.)]]/3.6</f>
        <v>12.933333333333334</v>
      </c>
      <c r="J4" s="18">
        <v>2.5299999999999998</v>
      </c>
      <c r="K4" s="18">
        <v>0</v>
      </c>
      <c r="L4" s="19">
        <v>1</v>
      </c>
      <c r="M4" s="11"/>
      <c r="N4" s="236" t="str">
        <f>"APA NIR 2023: "&amp;Tabela1[[#This Row],[Fuel]]&amp;": "&amp;Tabela1[[#This Row],[Qtd.]]</f>
        <v>APA NIR 2023: GPL: kg</v>
      </c>
    </row>
    <row r="5" spans="1:14" s="245" customFormat="1" x14ac:dyDescent="0.25">
      <c r="A5" s="239" t="s">
        <v>819</v>
      </c>
      <c r="B5" s="240">
        <v>48</v>
      </c>
      <c r="C5" s="240">
        <v>175</v>
      </c>
      <c r="D5" s="240" t="s">
        <v>461</v>
      </c>
      <c r="E5" s="241">
        <f>Tabela1[[#This Row],[Densidade (kg/m3)]]</f>
        <v>175</v>
      </c>
      <c r="F5" s="241">
        <f>Tabela1[[#This Row],[Densidade kg/Qtd.]]*Tabela1[[#This Row],[Energia (MJ/kg)]]</f>
        <v>8400</v>
      </c>
      <c r="G5" s="241">
        <f>Tabela1[[#This Row],[Energia (MJ/Qtd.)]]/1000</f>
        <v>8.4</v>
      </c>
      <c r="H5" s="246">
        <f>Tabela1[[#This Row],[Energia (kWh/Qtd.)]]/11630</f>
        <v>0.2006305531670966</v>
      </c>
      <c r="I5" s="241">
        <f>Tabela1[[#This Row],[Energia (MJ/Qtd.)]]/3.6</f>
        <v>2333.3333333333335</v>
      </c>
      <c r="J5" s="240">
        <v>4</v>
      </c>
      <c r="K5" s="240">
        <v>0</v>
      </c>
      <c r="L5" s="242">
        <v>1</v>
      </c>
      <c r="M5" s="243" t="s">
        <v>92</v>
      </c>
      <c r="N5" s="244" t="str">
        <f>"APA NIR 2023: "&amp;Tabela1[[#This Row],[Fuel]]&amp;": "&amp;Tabela1[[#This Row],[Qtd.]]</f>
        <v>APA NIR 2023: GNChp: m3</v>
      </c>
    </row>
    <row r="6" spans="1:14" s="245" customFormat="1" x14ac:dyDescent="0.25">
      <c r="A6" s="239" t="s">
        <v>92</v>
      </c>
      <c r="B6" s="240">
        <v>48</v>
      </c>
      <c r="C6" s="241">
        <v>0.78169999999999995</v>
      </c>
      <c r="D6" s="240" t="s">
        <v>56</v>
      </c>
      <c r="E6" s="241">
        <v>0.78169999999999995</v>
      </c>
      <c r="F6" s="241">
        <f>Tabela1[[#This Row],[Energia (MJ/kg)]]*Tabela1[[#This Row],[Densidade (kg/m3)]]</f>
        <v>37.521599999999999</v>
      </c>
      <c r="G6" s="241">
        <f>Tabela1[[#This Row],[Energia (MJ/Qtd.)]]/1000</f>
        <v>3.7521600000000002E-2</v>
      </c>
      <c r="H6" s="246">
        <f>Tabela1[[#This Row],[Energia (kWh/Qtd.)]]/11630</f>
        <v>8.9618801948982514E-4</v>
      </c>
      <c r="I6" s="241">
        <f>Tabela1[[#This Row],[Energia (MJ/Qtd.)]]/3.6</f>
        <v>10.422666666666666</v>
      </c>
      <c r="J6" s="240">
        <v>4</v>
      </c>
      <c r="K6" s="240">
        <v>0</v>
      </c>
      <c r="L6" s="242">
        <v>1</v>
      </c>
      <c r="M6" s="243" t="s">
        <v>92</v>
      </c>
      <c r="N6" s="244" t="str">
        <f>"APA NIR 2023: "&amp;Tabela1[[#This Row],[Fuel]]&amp;": "&amp;Tabela1[[#This Row],[Qtd.]]</f>
        <v>APA NIR 2023: GNC: Nm3</v>
      </c>
    </row>
    <row r="7" spans="1:14" x14ac:dyDescent="0.25">
      <c r="A7" s="10" t="s">
        <v>95</v>
      </c>
      <c r="B7" s="18">
        <v>48</v>
      </c>
      <c r="C7" s="18">
        <v>175</v>
      </c>
      <c r="D7" s="18" t="s">
        <v>57</v>
      </c>
      <c r="E7" s="20">
        <v>1</v>
      </c>
      <c r="F7" s="20">
        <f>Tabela1[[#This Row],[Densidade kg/Qtd.]]*Tabela1[[#This Row],[Energia (MJ/kg)]]</f>
        <v>48</v>
      </c>
      <c r="G7" s="20">
        <f>Tabela1[[#This Row],[Energia (MJ/Qtd.)]]/1000</f>
        <v>4.8000000000000001E-2</v>
      </c>
      <c r="H7" s="140">
        <f>Tabela1[[#This Row],[Energia (kWh/Qtd.)]]/11630</f>
        <v>1.1464603038119803E-3</v>
      </c>
      <c r="I7" s="20">
        <f>Tabela1[[#This Row],[Energia (MJ/Qtd.)]]/3.6</f>
        <v>13.333333333333332</v>
      </c>
      <c r="J7" s="18">
        <v>4</v>
      </c>
      <c r="K7" s="18">
        <v>0</v>
      </c>
      <c r="L7" s="19">
        <v>1</v>
      </c>
      <c r="M7" s="11" t="s">
        <v>95</v>
      </c>
      <c r="N7" s="236" t="str">
        <f>"APA NIR 2023: "&amp;Tabela1[[#This Row],[Fuel]]&amp;": "&amp;Tabela1[[#This Row],[Qtd.]]</f>
        <v>APA NIR 2023: GNL: kg</v>
      </c>
    </row>
    <row r="8" spans="1:14" x14ac:dyDescent="0.25">
      <c r="A8" s="10" t="s">
        <v>93</v>
      </c>
      <c r="B8" s="18">
        <v>37.299999999999997</v>
      </c>
      <c r="C8" s="18">
        <v>890</v>
      </c>
      <c r="D8" s="18" t="s">
        <v>55</v>
      </c>
      <c r="E8" s="20">
        <f>Tabela1[[#This Row],[Densidade (kg/m3)]]/1000</f>
        <v>0.89</v>
      </c>
      <c r="F8" s="20">
        <f>Tabela1[[#This Row],[Densidade kg/Qtd.]]*Tabela1[[#This Row],[Energia (MJ/kg)]]</f>
        <v>33.196999999999996</v>
      </c>
      <c r="G8" s="20">
        <f>Tabela1[[#This Row],[Energia (MJ/Qtd.)]]/1000</f>
        <v>3.3196999999999997E-2</v>
      </c>
      <c r="H8" s="140">
        <f>Tabela1[[#This Row],[Energia (kWh/Qtd.)]]/11630</f>
        <v>7.9289672303429809E-4</v>
      </c>
      <c r="I8" s="20">
        <f>Tabela1[[#This Row],[Energia (MJ/Qtd.)]]/3.6</f>
        <v>9.2213888888888871</v>
      </c>
      <c r="J8" s="18">
        <v>1.95</v>
      </c>
      <c r="K8" s="18">
        <v>0.11</v>
      </c>
      <c r="L8" s="19">
        <v>1</v>
      </c>
      <c r="M8" s="11"/>
      <c r="N8" s="236" t="str">
        <f>"APA NIR 2023: "&amp;Tabela1[[#This Row],[Fuel]]&amp;": "&amp;Tabela1[[#This Row],[Qtd.]]</f>
        <v>APA NIR 2023: Biodiesel: l</v>
      </c>
    </row>
    <row r="9" spans="1:14" x14ac:dyDescent="0.25">
      <c r="A9" s="10" t="s">
        <v>94</v>
      </c>
      <c r="B9" s="18">
        <v>28.8</v>
      </c>
      <c r="C9" s="18">
        <v>794</v>
      </c>
      <c r="D9" s="18" t="s">
        <v>55</v>
      </c>
      <c r="E9" s="20">
        <f>Tabela1[[#This Row],[Densidade (kg/m3)]]/1000</f>
        <v>0.79400000000000004</v>
      </c>
      <c r="F9" s="20">
        <f>Tabela1[[#This Row],[Densidade kg/Qtd.]]*Tabela1[[#This Row],[Energia (MJ/kg)]]</f>
        <v>22.8672</v>
      </c>
      <c r="G9" s="20">
        <f>Tabela1[[#This Row],[Energia (MJ/Qtd.)]]/1000</f>
        <v>2.2867200000000001E-2</v>
      </c>
      <c r="H9" s="140">
        <f>Tabela1[[#This Row],[Energia (kWh/Qtd.)]]/11630</f>
        <v>5.4617368873602758E-4</v>
      </c>
      <c r="I9" s="20">
        <f>Tabela1[[#This Row],[Energia (MJ/Qtd.)]]/3.6</f>
        <v>6.3520000000000003</v>
      </c>
      <c r="J9" s="18">
        <v>3</v>
      </c>
      <c r="K9" s="18">
        <v>0.5</v>
      </c>
      <c r="L9" s="19">
        <v>1</v>
      </c>
      <c r="M9" s="11"/>
      <c r="N9" s="236" t="str">
        <f>"APA NIR 2023: "&amp;Tabela1[[#This Row],[Fuel]]&amp;": "&amp;Tabela1[[#This Row],[Qtd.]]</f>
        <v>APA NIR 2023: Bioetanol: l</v>
      </c>
    </row>
    <row r="10" spans="1:14" x14ac:dyDescent="0.25">
      <c r="A10" s="21" t="s">
        <v>43</v>
      </c>
      <c r="B10" s="22">
        <v>43.77</v>
      </c>
      <c r="C10" s="22">
        <v>750</v>
      </c>
      <c r="D10" s="22" t="s">
        <v>55</v>
      </c>
      <c r="E10" s="23">
        <f>Tabela1[[#This Row],[Densidade (kg/m3)]]/1000</f>
        <v>0.75</v>
      </c>
      <c r="F10" s="23">
        <f>Tabela1[[#This Row],[Densidade kg/Qtd.]]*Tabela1[[#This Row],[Energia (MJ/kg)]]</f>
        <v>32.827500000000001</v>
      </c>
      <c r="G10" s="23">
        <f>Tabela1[[#This Row],[Energia (MJ/Qtd.)]]/1000</f>
        <v>3.2827500000000003E-2</v>
      </c>
      <c r="H10" s="235">
        <f>Tabela1[[#This Row],[Energia (kWh/Qtd.)]]/11630</f>
        <v>7.8407136715391232E-4</v>
      </c>
      <c r="I10" s="23">
        <f>Tabela1[[#This Row],[Energia (MJ/Qtd.)]]/3.6</f>
        <v>9.1187500000000004</v>
      </c>
      <c r="J10" s="22">
        <v>1.86</v>
      </c>
      <c r="K10" s="22">
        <v>0</v>
      </c>
      <c r="L10" s="24">
        <v>1</v>
      </c>
      <c r="M10" s="25"/>
      <c r="N10" s="236" t="str">
        <f>"APA NIR 2023: "&amp;Tabela1[[#This Row],[Fuel]]&amp;": "&amp;Tabela1[[#This Row],[Qtd.]]</f>
        <v>APA NIR 2023: Híbrido Gasolina: l</v>
      </c>
    </row>
    <row r="11" spans="1:14" x14ac:dyDescent="0.25">
      <c r="A11" s="239" t="s">
        <v>233</v>
      </c>
      <c r="B11" s="230">
        <v>46.4</v>
      </c>
      <c r="C11" s="20">
        <v>514.93285227500496</v>
      </c>
      <c r="D11" s="230" t="s">
        <v>57</v>
      </c>
      <c r="E11" s="20">
        <f>Tabela1[[#This Row],[Densidade (kg/m3)]]/1000</f>
        <v>0.51493285227500496</v>
      </c>
      <c r="F11" s="20">
        <f>Tabela1[[#This Row],[Densidade kg/Qtd.]]*Tabela1[[#This Row],[Energia (MJ/kg)]]</f>
        <v>23.89288434556023</v>
      </c>
      <c r="G11" s="20">
        <f>Tabela1[[#This Row],[Energia (MJ/Qtd.)]]/1000</f>
        <v>2.3892884345560229E-2</v>
      </c>
      <c r="H11" s="140">
        <f>Tabela1[[#This Row],[Energia (kWh/Qtd.)]]/11630</f>
        <v>5.7067173845323945E-4</v>
      </c>
      <c r="I11" s="20">
        <f>Tabela1[[#This Row],[Energia (MJ/Qtd.)]]/3.6</f>
        <v>6.6369123182111744</v>
      </c>
      <c r="J11" s="240">
        <v>4</v>
      </c>
      <c r="K11" s="240">
        <v>0</v>
      </c>
      <c r="L11" s="242">
        <v>1</v>
      </c>
      <c r="M11" s="243"/>
      <c r="N11" s="238" t="str">
        <f>"APA NIR 2023: "&amp;Tabela1[[#This Row],[Fuel]]&amp;": "&amp;Tabela1[[#This Row],[Qtd.]]</f>
        <v>APA NIR 2023: Propano: kg</v>
      </c>
    </row>
    <row r="12" spans="1:14" x14ac:dyDescent="0.25">
      <c r="A12" s="239" t="s">
        <v>109</v>
      </c>
      <c r="B12" s="240">
        <v>48</v>
      </c>
      <c r="C12" s="20">
        <v>0.79544629085711949</v>
      </c>
      <c r="D12" s="230" t="s">
        <v>57</v>
      </c>
      <c r="E12" s="20">
        <f>Tabela1[[#This Row],[Densidade (kg/m3)]]/1000</f>
        <v>7.9544629085711953E-4</v>
      </c>
      <c r="F12" s="241">
        <f>Tabela1[[#This Row],[Energia (MJ/kg)]]*Tabela1[[#This Row],[Densidade (kg/m3)]]</f>
        <v>38.181421961141737</v>
      </c>
      <c r="G12" s="241">
        <f>Tabela1[[#This Row],[Energia (MJ/Qtd.)]]/1000</f>
        <v>3.8181421961141736E-2</v>
      </c>
      <c r="H12" s="246">
        <f>Tabela1[[#This Row],[Energia (kWh/Qtd.)]]/11630</f>
        <v>9.119475962821663E-4</v>
      </c>
      <c r="I12" s="241">
        <f>Tabela1[[#This Row],[Energia (MJ/Qtd.)]]/3.6</f>
        <v>10.605950544761594</v>
      </c>
      <c r="J12" s="240">
        <v>4</v>
      </c>
      <c r="K12" s="240">
        <v>0</v>
      </c>
      <c r="L12" s="242">
        <v>1</v>
      </c>
      <c r="M12" s="243" t="s">
        <v>109</v>
      </c>
      <c r="N12" s="238" t="str">
        <f>"APA NIR 2023: "&amp;Tabela1[[#This Row],[Fuel]]&amp;": "&amp;Tabela1[[#This Row],[Qtd.]]</f>
        <v>APA NIR 2023: GN: kg</v>
      </c>
    </row>
    <row r="18" spans="7:7" x14ac:dyDescent="0.25">
      <c r="G18" s="247"/>
    </row>
  </sheetData>
  <pageMargins left="0.7" right="0.7" top="0.75" bottom="0.75" header="0.3" footer="0.3"/>
  <customProperties>
    <customPr name="GUID" r:id="rId1"/>
  </customProperties>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lha8"/>
  <dimension ref="A1:AB928"/>
  <sheetViews>
    <sheetView workbookViewId="0">
      <selection activeCell="B6" sqref="B6:G9"/>
    </sheetView>
  </sheetViews>
  <sheetFormatPr defaultRowHeight="15" x14ac:dyDescent="0.25"/>
  <cols>
    <col min="1" max="1" width="13.42578125" bestFit="1" customWidth="1"/>
    <col min="2" max="2" width="51" bestFit="1" customWidth="1"/>
    <col min="3" max="3" width="14.7109375" bestFit="1" customWidth="1"/>
    <col min="4" max="4" width="12.7109375" customWidth="1"/>
    <col min="5" max="5" width="21.7109375" bestFit="1" customWidth="1"/>
    <col min="6" max="6" width="21.5703125" bestFit="1" customWidth="1"/>
    <col min="7" max="7" width="22" bestFit="1" customWidth="1"/>
    <col min="12" max="12" width="16.85546875" customWidth="1"/>
    <col min="13" max="13" width="10.7109375" customWidth="1"/>
    <col min="14" max="14" width="10.5703125" bestFit="1" customWidth="1"/>
    <col min="17" max="17" width="14.85546875" bestFit="1" customWidth="1"/>
    <col min="18" max="18" width="21.7109375" bestFit="1" customWidth="1"/>
    <col min="19" max="19" width="5.140625" bestFit="1" customWidth="1"/>
    <col min="20" max="20" width="5.5703125" bestFit="1" customWidth="1"/>
    <col min="21" max="21" width="10.5703125" bestFit="1" customWidth="1"/>
    <col min="22" max="22" width="21.7109375" bestFit="1" customWidth="1"/>
    <col min="23" max="23" width="21.5703125" bestFit="1" customWidth="1"/>
    <col min="24" max="24" width="22" bestFit="1" customWidth="1"/>
    <col min="26" max="26" width="11.140625" customWidth="1"/>
    <col min="27" max="27" width="19.7109375" customWidth="1"/>
    <col min="28" max="28" width="52.42578125" customWidth="1"/>
  </cols>
  <sheetData>
    <row r="1" spans="1:28" ht="18" x14ac:dyDescent="0.35">
      <c r="A1" s="39" t="s">
        <v>123</v>
      </c>
      <c r="B1" s="39" t="s">
        <v>82</v>
      </c>
      <c r="C1" s="39" t="s">
        <v>124</v>
      </c>
      <c r="D1" s="40" t="s">
        <v>125</v>
      </c>
      <c r="E1" s="40" t="s">
        <v>126</v>
      </c>
      <c r="F1" s="41" t="s">
        <v>127</v>
      </c>
      <c r="G1" s="41" t="s">
        <v>128</v>
      </c>
      <c r="K1" s="61" t="s">
        <v>123</v>
      </c>
      <c r="L1" s="39" t="s">
        <v>82</v>
      </c>
      <c r="M1" s="39" t="s">
        <v>124</v>
      </c>
      <c r="N1" s="62" t="s">
        <v>125</v>
      </c>
      <c r="Q1" s="39" t="s">
        <v>123</v>
      </c>
      <c r="R1" s="39" t="s">
        <v>190</v>
      </c>
      <c r="S1" s="39" t="s">
        <v>124</v>
      </c>
      <c r="T1" s="40" t="s">
        <v>191</v>
      </c>
      <c r="U1" s="40" t="s">
        <v>125</v>
      </c>
      <c r="V1" s="40" t="s">
        <v>126</v>
      </c>
      <c r="W1" s="40" t="s">
        <v>127</v>
      </c>
      <c r="X1" s="40" t="s">
        <v>128</v>
      </c>
      <c r="Z1" t="s">
        <v>195</v>
      </c>
      <c r="AA1" t="s">
        <v>196</v>
      </c>
      <c r="AB1" t="s">
        <v>225</v>
      </c>
    </row>
    <row r="2" spans="1:28" x14ac:dyDescent="0.25">
      <c r="A2" s="405" t="s">
        <v>129</v>
      </c>
      <c r="B2" s="408" t="s">
        <v>130</v>
      </c>
      <c r="C2" s="40" t="s">
        <v>131</v>
      </c>
      <c r="D2" s="42">
        <v>3033.3806711409397</v>
      </c>
      <c r="E2" s="42">
        <v>3029.26</v>
      </c>
      <c r="F2" s="42">
        <v>2.5200000000000005</v>
      </c>
      <c r="G2" s="42">
        <v>1.6006711409395973</v>
      </c>
      <c r="K2" s="417" t="s">
        <v>168</v>
      </c>
      <c r="L2" s="411" t="s">
        <v>169</v>
      </c>
      <c r="M2" s="40" t="s">
        <v>132</v>
      </c>
      <c r="N2" s="43">
        <v>9.0100000000000006E-3</v>
      </c>
      <c r="Q2" s="411" t="s">
        <v>192</v>
      </c>
      <c r="R2" s="40" t="s">
        <v>193</v>
      </c>
      <c r="S2" s="40" t="s">
        <v>184</v>
      </c>
      <c r="T2" s="65">
        <v>2023</v>
      </c>
      <c r="U2" s="66">
        <v>0.17964657181208055</v>
      </c>
      <c r="V2" s="67">
        <v>0.17791000000000001</v>
      </c>
      <c r="W2" s="66">
        <v>1.2208000000000002E-3</v>
      </c>
      <c r="X2" s="66">
        <v>5.1577181208053687E-4</v>
      </c>
      <c r="Z2">
        <v>2030</v>
      </c>
      <c r="AA2" t="s">
        <v>197</v>
      </c>
      <c r="AB2">
        <v>114</v>
      </c>
    </row>
    <row r="3" spans="1:28" x14ac:dyDescent="0.25">
      <c r="A3" s="406"/>
      <c r="B3" s="409" t="s">
        <v>130</v>
      </c>
      <c r="C3" s="40" t="s">
        <v>132</v>
      </c>
      <c r="D3" s="42">
        <v>1.7453296322147651</v>
      </c>
      <c r="E3" s="42">
        <v>1.7429600000000001</v>
      </c>
      <c r="F3" s="42">
        <v>1.4448E-3</v>
      </c>
      <c r="G3" s="42">
        <v>9.2483221476510056E-4</v>
      </c>
      <c r="K3" s="418"/>
      <c r="L3" s="411"/>
      <c r="M3" s="40" t="s">
        <v>96</v>
      </c>
      <c r="N3" s="43">
        <v>0.42338999999999999</v>
      </c>
      <c r="Q3" s="411"/>
      <c r="R3" s="40" t="s">
        <v>194</v>
      </c>
      <c r="S3" s="40" t="s">
        <v>184</v>
      </c>
      <c r="T3" s="65">
        <v>2023</v>
      </c>
      <c r="U3" s="66">
        <v>0.17964657181208055</v>
      </c>
      <c r="V3" s="67">
        <v>0.17791000000000001</v>
      </c>
      <c r="W3" s="66">
        <v>1.2208000000000002E-3</v>
      </c>
      <c r="X3" s="66">
        <v>5.1577181208053687E-4</v>
      </c>
      <c r="Z3">
        <v>2022</v>
      </c>
      <c r="AA3" t="s">
        <v>197</v>
      </c>
      <c r="AB3">
        <v>251</v>
      </c>
    </row>
    <row r="4" spans="1:28" x14ac:dyDescent="0.25">
      <c r="A4" s="406"/>
      <c r="B4" s="409" t="s">
        <v>130</v>
      </c>
      <c r="C4" s="40" t="s">
        <v>133</v>
      </c>
      <c r="D4" s="42">
        <v>0.24106609664429532</v>
      </c>
      <c r="E4" s="42">
        <v>0.24074000000000001</v>
      </c>
      <c r="F4" s="42">
        <v>2.0160000000000002E-4</v>
      </c>
      <c r="G4" s="42">
        <v>1.2449664429530201E-4</v>
      </c>
      <c r="K4" s="418"/>
      <c r="L4" s="411"/>
      <c r="M4" s="40" t="s">
        <v>57</v>
      </c>
      <c r="N4" s="43">
        <v>1.1350000000000001E-2</v>
      </c>
      <c r="Z4">
        <v>2022</v>
      </c>
      <c r="AA4" t="s">
        <v>199</v>
      </c>
      <c r="AB4">
        <v>52</v>
      </c>
    </row>
    <row r="5" spans="1:28" x14ac:dyDescent="0.25">
      <c r="A5" s="406"/>
      <c r="B5" s="410" t="s">
        <v>130</v>
      </c>
      <c r="C5" s="40" t="s">
        <v>134</v>
      </c>
      <c r="D5" s="42">
        <v>0.22240600402684563</v>
      </c>
      <c r="E5" s="42">
        <v>0.22209999999999999</v>
      </c>
      <c r="F5" s="42">
        <v>1.9040000000000002E-4</v>
      </c>
      <c r="G5" s="42">
        <v>1.1560402684563757E-4</v>
      </c>
      <c r="K5" s="418"/>
      <c r="L5" s="411" t="s">
        <v>170</v>
      </c>
      <c r="M5" s="40" t="s">
        <v>132</v>
      </c>
      <c r="N5" s="43">
        <v>0.16750999999999999</v>
      </c>
      <c r="Z5">
        <v>2022</v>
      </c>
      <c r="AA5" t="s">
        <v>200</v>
      </c>
      <c r="AB5">
        <v>66</v>
      </c>
    </row>
    <row r="6" spans="1:28" x14ac:dyDescent="0.25">
      <c r="A6" s="406"/>
      <c r="B6" s="408" t="s">
        <v>135</v>
      </c>
      <c r="C6" s="40" t="s">
        <v>131</v>
      </c>
      <c r="D6" s="42">
        <v>2562.5744107382552</v>
      </c>
      <c r="E6" s="42">
        <v>2557.5300000000002</v>
      </c>
      <c r="F6" s="42">
        <v>3.8528000000000002</v>
      </c>
      <c r="G6" s="42">
        <v>1.1916107382550336</v>
      </c>
      <c r="K6" s="418"/>
      <c r="L6" s="411"/>
      <c r="M6" s="40" t="s">
        <v>96</v>
      </c>
      <c r="N6" s="43">
        <v>5.0596100000000002</v>
      </c>
      <c r="Z6">
        <v>2022</v>
      </c>
      <c r="AA6" t="s">
        <v>201</v>
      </c>
      <c r="AB6">
        <v>68</v>
      </c>
    </row>
    <row r="7" spans="1:28" x14ac:dyDescent="0.25">
      <c r="A7" s="406"/>
      <c r="B7" s="409"/>
      <c r="C7" s="40" t="s">
        <v>132</v>
      </c>
      <c r="D7" s="42">
        <v>0.44844653020134229</v>
      </c>
      <c r="E7" s="43">
        <v>0.44757000000000002</v>
      </c>
      <c r="F7" s="43">
        <v>6.7199999999999996E-4</v>
      </c>
      <c r="G7" s="43">
        <v>2.0453020134228187E-4</v>
      </c>
      <c r="K7" s="418"/>
      <c r="L7" s="411"/>
      <c r="M7" s="40" t="s">
        <v>57</v>
      </c>
      <c r="N7" s="43">
        <v>0.18822</v>
      </c>
      <c r="Z7">
        <v>2022</v>
      </c>
      <c r="AA7" t="s">
        <v>202</v>
      </c>
      <c r="AB7">
        <v>86</v>
      </c>
    </row>
    <row r="8" spans="1:28" x14ac:dyDescent="0.25">
      <c r="A8" s="406"/>
      <c r="B8" s="409"/>
      <c r="C8" s="40" t="s">
        <v>133</v>
      </c>
      <c r="D8" s="42">
        <v>0.20267141879194631</v>
      </c>
      <c r="E8" s="43">
        <v>0.20226</v>
      </c>
      <c r="F8" s="43">
        <v>3.1359999999999998E-4</v>
      </c>
      <c r="G8" s="43">
        <v>9.7818791946308734E-5</v>
      </c>
      <c r="K8" s="418"/>
      <c r="L8" s="401" t="s">
        <v>171</v>
      </c>
      <c r="M8" s="40" t="s">
        <v>132</v>
      </c>
      <c r="N8" s="63"/>
      <c r="Z8">
        <v>2022</v>
      </c>
      <c r="AA8" t="s">
        <v>203</v>
      </c>
      <c r="AB8">
        <v>96</v>
      </c>
    </row>
    <row r="9" spans="1:28" x14ac:dyDescent="0.25">
      <c r="A9" s="406"/>
      <c r="B9" s="410"/>
      <c r="C9" s="40" t="s">
        <v>134</v>
      </c>
      <c r="D9" s="42">
        <v>0.18292892617449666</v>
      </c>
      <c r="E9" s="43">
        <v>0.18256</v>
      </c>
      <c r="F9" s="43">
        <v>2.8000000000000003E-4</v>
      </c>
      <c r="G9" s="43">
        <v>8.8926174496644302E-5</v>
      </c>
      <c r="K9" s="418"/>
      <c r="L9" s="401"/>
      <c r="M9" s="40" t="s">
        <v>96</v>
      </c>
      <c r="N9" s="43">
        <v>0.10625</v>
      </c>
      <c r="Z9">
        <v>2022</v>
      </c>
      <c r="AA9" t="s">
        <v>204</v>
      </c>
      <c r="AB9">
        <v>103</v>
      </c>
    </row>
    <row r="10" spans="1:28" x14ac:dyDescent="0.25">
      <c r="A10" s="406"/>
      <c r="B10" s="408" t="s">
        <v>136</v>
      </c>
      <c r="C10" s="40" t="s">
        <v>131</v>
      </c>
      <c r="D10" s="42">
        <v>2581.9844107382551</v>
      </c>
      <c r="E10" s="42">
        <v>2576.94</v>
      </c>
      <c r="F10" s="42">
        <v>3.8528000000000002</v>
      </c>
      <c r="G10" s="42">
        <v>1.1916107382550336</v>
      </c>
      <c r="K10" s="418"/>
      <c r="L10" s="401"/>
      <c r="M10" s="40" t="s">
        <v>57</v>
      </c>
      <c r="N10" s="43">
        <v>5.2100000000000002E-3</v>
      </c>
      <c r="Z10">
        <v>2022</v>
      </c>
      <c r="AA10" t="s">
        <v>205</v>
      </c>
      <c r="AB10">
        <v>115</v>
      </c>
    </row>
    <row r="11" spans="1:28" x14ac:dyDescent="0.25">
      <c r="A11" s="406"/>
      <c r="B11" s="409"/>
      <c r="C11" s="40" t="s">
        <v>132</v>
      </c>
      <c r="D11" s="42">
        <v>1.1683296496644295</v>
      </c>
      <c r="E11" s="43">
        <v>1.16604</v>
      </c>
      <c r="F11" s="43">
        <v>1.7472000000000002E-3</v>
      </c>
      <c r="G11" s="43">
        <v>5.4244966442953014E-4</v>
      </c>
      <c r="K11" s="418"/>
      <c r="L11" s="401" t="s">
        <v>172</v>
      </c>
      <c r="M11" s="40" t="s">
        <v>132</v>
      </c>
      <c r="N11" s="43">
        <v>0.16750999999999999</v>
      </c>
      <c r="Z11">
        <v>2022</v>
      </c>
      <c r="AA11" t="s">
        <v>206</v>
      </c>
      <c r="AB11">
        <v>133</v>
      </c>
    </row>
    <row r="12" spans="1:28" x14ac:dyDescent="0.25">
      <c r="A12" s="406"/>
      <c r="B12" s="409"/>
      <c r="C12" s="40" t="s">
        <v>133</v>
      </c>
      <c r="D12" s="42">
        <v>0.20420141879194631</v>
      </c>
      <c r="E12" s="44">
        <v>0.20379</v>
      </c>
      <c r="F12" s="43">
        <v>3.1359999999999998E-4</v>
      </c>
      <c r="G12" s="43">
        <v>9.7818791946308734E-5</v>
      </c>
      <c r="K12" s="418"/>
      <c r="L12" s="401"/>
      <c r="M12" s="40" t="s">
        <v>96</v>
      </c>
      <c r="N12" s="43">
        <v>5.0596100000000002</v>
      </c>
      <c r="Z12">
        <v>2022</v>
      </c>
      <c r="AA12" t="s">
        <v>207</v>
      </c>
      <c r="AB12">
        <v>145</v>
      </c>
    </row>
    <row r="13" spans="1:28" x14ac:dyDescent="0.25">
      <c r="A13" s="406"/>
      <c r="B13" s="410"/>
      <c r="C13" s="40" t="s">
        <v>134</v>
      </c>
      <c r="D13" s="42">
        <v>0.18431892617449666</v>
      </c>
      <c r="E13" s="43">
        <v>0.18395</v>
      </c>
      <c r="F13" s="43">
        <v>2.8000000000000003E-4</v>
      </c>
      <c r="G13" s="43">
        <v>8.8926174496644302E-5</v>
      </c>
      <c r="K13" s="418"/>
      <c r="L13" s="401"/>
      <c r="M13" s="40" t="s">
        <v>57</v>
      </c>
      <c r="N13" s="43">
        <v>0.18822</v>
      </c>
      <c r="Z13">
        <v>2021</v>
      </c>
      <c r="AA13" t="s">
        <v>197</v>
      </c>
      <c r="AB13">
        <v>238</v>
      </c>
    </row>
    <row r="14" spans="1:28" x14ac:dyDescent="0.25">
      <c r="A14" s="406"/>
      <c r="B14" s="408" t="s">
        <v>137</v>
      </c>
      <c r="C14" s="40" t="s">
        <v>131</v>
      </c>
      <c r="D14" s="42">
        <v>2939.3609489932887</v>
      </c>
      <c r="E14" s="42">
        <v>2935.18</v>
      </c>
      <c r="F14" s="42">
        <v>2.5535999999999999</v>
      </c>
      <c r="G14" s="42">
        <v>1.6273489932885907</v>
      </c>
      <c r="K14" s="418"/>
      <c r="L14" s="401" t="s">
        <v>173</v>
      </c>
      <c r="M14" s="40" t="s">
        <v>132</v>
      </c>
      <c r="N14" s="43">
        <v>0.16750999999999999</v>
      </c>
      <c r="Z14">
        <v>2022</v>
      </c>
      <c r="AA14" t="s">
        <v>209</v>
      </c>
      <c r="AB14">
        <v>180</v>
      </c>
    </row>
    <row r="15" spans="1:28" x14ac:dyDescent="0.25">
      <c r="A15" s="406"/>
      <c r="B15" s="409"/>
      <c r="C15" s="40" t="s">
        <v>132</v>
      </c>
      <c r="D15" s="42">
        <v>1.5571277838926174</v>
      </c>
      <c r="E15" s="43">
        <v>1.55491</v>
      </c>
      <c r="F15" s="43">
        <v>1.3552E-3</v>
      </c>
      <c r="G15" s="43">
        <v>8.6258389261744967E-4</v>
      </c>
      <c r="K15" s="418"/>
      <c r="L15" s="401"/>
      <c r="M15" s="40" t="s">
        <v>96</v>
      </c>
      <c r="N15" s="43">
        <v>5.0596100000000002</v>
      </c>
      <c r="Z15">
        <v>2022</v>
      </c>
      <c r="AA15" t="s">
        <v>210</v>
      </c>
      <c r="AB15">
        <v>180</v>
      </c>
    </row>
    <row r="16" spans="1:28" x14ac:dyDescent="0.25">
      <c r="A16" s="406"/>
      <c r="B16" s="409"/>
      <c r="C16" s="40" t="s">
        <v>133</v>
      </c>
      <c r="D16" s="42">
        <v>0.23031609664429531</v>
      </c>
      <c r="E16" s="43">
        <v>0.22999</v>
      </c>
      <c r="F16" s="43">
        <v>2.0160000000000002E-4</v>
      </c>
      <c r="G16" s="43">
        <v>1.2449664429530201E-4</v>
      </c>
      <c r="K16" s="418"/>
      <c r="L16" s="401"/>
      <c r="M16" s="40" t="s">
        <v>57</v>
      </c>
      <c r="N16" s="43">
        <v>0.18822</v>
      </c>
      <c r="Z16">
        <v>2022</v>
      </c>
      <c r="AA16" t="s">
        <v>211</v>
      </c>
      <c r="AB16">
        <v>205</v>
      </c>
    </row>
    <row r="17" spans="1:28" x14ac:dyDescent="0.25">
      <c r="A17" s="406"/>
      <c r="B17" s="410"/>
      <c r="C17" s="40" t="s">
        <v>134</v>
      </c>
      <c r="D17" s="42">
        <v>0.21449600402684563</v>
      </c>
      <c r="E17" s="43">
        <v>0.21418999999999999</v>
      </c>
      <c r="F17" s="43">
        <v>1.9040000000000002E-4</v>
      </c>
      <c r="G17" s="43">
        <v>1.1560402684563757E-4</v>
      </c>
      <c r="K17" s="418"/>
      <c r="L17" s="401" t="s">
        <v>174</v>
      </c>
      <c r="M17" s="40" t="s">
        <v>132</v>
      </c>
      <c r="N17" s="43">
        <v>3.5580000000000001E-2</v>
      </c>
      <c r="Z17">
        <v>2022</v>
      </c>
      <c r="AA17" t="s">
        <v>212</v>
      </c>
      <c r="AB17">
        <v>208</v>
      </c>
    </row>
    <row r="18" spans="1:28" x14ac:dyDescent="0.25">
      <c r="A18" s="406"/>
      <c r="B18" s="408" t="s">
        <v>138</v>
      </c>
      <c r="C18" s="40" t="s">
        <v>131</v>
      </c>
      <c r="D18" s="42">
        <v>2562.5744107382552</v>
      </c>
      <c r="E18" s="42">
        <v>2557.5300000000002</v>
      </c>
      <c r="F18" s="42">
        <v>3.8528000000000002</v>
      </c>
      <c r="G18" s="42">
        <v>1.1916107382550336</v>
      </c>
      <c r="K18" s="418"/>
      <c r="L18" s="401"/>
      <c r="M18" s="40" t="s">
        <v>96</v>
      </c>
      <c r="N18" s="43">
        <v>1.03677</v>
      </c>
      <c r="Z18">
        <v>2022</v>
      </c>
      <c r="AA18" t="s">
        <v>213</v>
      </c>
      <c r="AB18">
        <v>247</v>
      </c>
    </row>
    <row r="19" spans="1:28" x14ac:dyDescent="0.25">
      <c r="A19" s="406"/>
      <c r="B19" s="409"/>
      <c r="C19" s="40" t="s">
        <v>139</v>
      </c>
      <c r="D19" s="42">
        <v>2.0383903100671139</v>
      </c>
      <c r="E19" s="43">
        <v>2.03437</v>
      </c>
      <c r="F19" s="43">
        <v>3.0688E-3</v>
      </c>
      <c r="G19" s="43">
        <v>9.5151006711409393E-4</v>
      </c>
      <c r="K19" s="418"/>
      <c r="L19" s="401"/>
      <c r="M19" s="40" t="s">
        <v>57</v>
      </c>
      <c r="N19" s="43">
        <v>4.5620000000000001E-2</v>
      </c>
      <c r="Z19">
        <v>2022</v>
      </c>
      <c r="AA19" t="s">
        <v>214</v>
      </c>
      <c r="AB19">
        <v>252</v>
      </c>
    </row>
    <row r="20" spans="1:28" x14ac:dyDescent="0.25">
      <c r="A20" s="406"/>
      <c r="B20" s="409"/>
      <c r="C20" s="40" t="s">
        <v>133</v>
      </c>
      <c r="D20" s="42">
        <v>0.20267141879194631</v>
      </c>
      <c r="E20" s="43">
        <v>0.20226</v>
      </c>
      <c r="F20" s="43">
        <v>3.1359999999999998E-4</v>
      </c>
      <c r="G20" s="43">
        <v>9.7818791946308734E-5</v>
      </c>
      <c r="K20" s="418"/>
      <c r="L20" s="401" t="s">
        <v>175</v>
      </c>
      <c r="M20" s="40" t="s">
        <v>132</v>
      </c>
      <c r="N20" s="43">
        <v>2.14E-3</v>
      </c>
      <c r="Z20">
        <v>2022</v>
      </c>
      <c r="AA20" t="s">
        <v>215</v>
      </c>
      <c r="AB20">
        <v>310</v>
      </c>
    </row>
    <row r="21" spans="1:28" x14ac:dyDescent="0.25">
      <c r="A21" s="406"/>
      <c r="B21" s="410"/>
      <c r="C21" s="40" t="s">
        <v>134</v>
      </c>
      <c r="D21" s="42">
        <v>0.18292892617449666</v>
      </c>
      <c r="E21" s="43">
        <v>0.18256</v>
      </c>
      <c r="F21" s="43">
        <v>2.8000000000000003E-4</v>
      </c>
      <c r="G21" s="43">
        <v>8.8926174496644302E-5</v>
      </c>
      <c r="K21" s="418"/>
      <c r="L21" s="401"/>
      <c r="M21" s="40" t="s">
        <v>96</v>
      </c>
      <c r="N21" s="43">
        <v>8.9520000000000002E-2</v>
      </c>
      <c r="Z21">
        <v>2022</v>
      </c>
      <c r="AA21" t="s">
        <v>216</v>
      </c>
      <c r="AB21">
        <v>321</v>
      </c>
    </row>
    <row r="22" spans="1:28" x14ac:dyDescent="0.25">
      <c r="A22" s="406"/>
      <c r="B22" s="408" t="s">
        <v>140</v>
      </c>
      <c r="C22" s="40" t="s">
        <v>131</v>
      </c>
      <c r="D22" s="42">
        <v>2581.9844107382551</v>
      </c>
      <c r="E22" s="42">
        <v>2576.94</v>
      </c>
      <c r="F22" s="42">
        <v>3.8528000000000002</v>
      </c>
      <c r="G22" s="42">
        <v>1.1916107382550336</v>
      </c>
      <c r="K22" s="418"/>
      <c r="L22" s="401"/>
      <c r="M22" s="40" t="s">
        <v>57</v>
      </c>
      <c r="N22" s="43">
        <v>4.15E-3</v>
      </c>
      <c r="Z22">
        <v>2022</v>
      </c>
      <c r="AA22" t="s">
        <v>217</v>
      </c>
      <c r="AB22">
        <v>347</v>
      </c>
    </row>
    <row r="23" spans="1:28" x14ac:dyDescent="0.25">
      <c r="A23" s="406"/>
      <c r="B23" s="409"/>
      <c r="C23" s="40" t="s">
        <v>139</v>
      </c>
      <c r="D23" s="42">
        <v>2.0538303100671138</v>
      </c>
      <c r="E23" s="43">
        <v>2.0498099999999999</v>
      </c>
      <c r="F23" s="43">
        <v>3.0688E-3</v>
      </c>
      <c r="G23" s="43">
        <v>9.5151006711409393E-4</v>
      </c>
      <c r="K23" s="418"/>
      <c r="L23" s="401" t="s">
        <v>176</v>
      </c>
      <c r="M23" s="40" t="s">
        <v>132</v>
      </c>
      <c r="N23" s="43">
        <v>3.703E-2</v>
      </c>
      <c r="Z23">
        <v>2020</v>
      </c>
      <c r="AA23" t="s">
        <v>197</v>
      </c>
      <c r="AB23">
        <v>265</v>
      </c>
    </row>
    <row r="24" spans="1:28" x14ac:dyDescent="0.25">
      <c r="A24" s="406"/>
      <c r="B24" s="409"/>
      <c r="C24" s="40" t="s">
        <v>133</v>
      </c>
      <c r="D24" s="42">
        <v>0.20420141879194631</v>
      </c>
      <c r="E24" s="43">
        <v>0.20379</v>
      </c>
      <c r="F24" s="43">
        <v>3.1359999999999998E-4</v>
      </c>
      <c r="G24" s="43">
        <v>9.7818791946308734E-5</v>
      </c>
      <c r="K24" s="418"/>
      <c r="L24" s="401"/>
      <c r="M24" s="40" t="s">
        <v>96</v>
      </c>
      <c r="N24" s="43">
        <v>1.03677</v>
      </c>
      <c r="Z24">
        <v>2022</v>
      </c>
      <c r="AA24" t="s">
        <v>219</v>
      </c>
      <c r="AB24">
        <v>400</v>
      </c>
    </row>
    <row r="25" spans="1:28" x14ac:dyDescent="0.25">
      <c r="A25" s="406"/>
      <c r="B25" s="410"/>
      <c r="C25" s="40" t="s">
        <v>134</v>
      </c>
      <c r="D25" s="42">
        <v>0.18431892617449666</v>
      </c>
      <c r="E25" s="43">
        <v>0.18395</v>
      </c>
      <c r="F25" s="43">
        <v>2.8000000000000003E-4</v>
      </c>
      <c r="G25" s="43">
        <v>8.8926174496644302E-5</v>
      </c>
      <c r="K25" s="418"/>
      <c r="L25" s="401"/>
      <c r="M25" s="40" t="s">
        <v>57</v>
      </c>
      <c r="N25" s="43">
        <v>4.462E-2</v>
      </c>
      <c r="Z25">
        <v>2022</v>
      </c>
      <c r="AA25" t="s">
        <v>220</v>
      </c>
      <c r="AB25">
        <v>416</v>
      </c>
    </row>
    <row r="26" spans="1:28" x14ac:dyDescent="0.25">
      <c r="A26" s="406"/>
      <c r="B26" s="408" t="s">
        <v>141</v>
      </c>
      <c r="C26" s="40" t="s">
        <v>131</v>
      </c>
      <c r="D26" s="42">
        <v>2578.246473825503</v>
      </c>
      <c r="E26" s="42">
        <v>2575.6999999999998</v>
      </c>
      <c r="F26" s="42">
        <v>1.3104</v>
      </c>
      <c r="G26" s="42">
        <v>1.2360738255033556</v>
      </c>
      <c r="K26" s="418"/>
      <c r="L26" s="401" t="s">
        <v>177</v>
      </c>
      <c r="M26" s="40" t="s">
        <v>132</v>
      </c>
      <c r="N26" s="43">
        <v>1.405E-2</v>
      </c>
      <c r="Z26">
        <v>2022</v>
      </c>
      <c r="AA26" t="s">
        <v>221</v>
      </c>
      <c r="AB26">
        <v>422</v>
      </c>
    </row>
    <row r="27" spans="1:28" x14ac:dyDescent="0.25">
      <c r="A27" s="406"/>
      <c r="B27" s="409"/>
      <c r="C27" s="40" t="s">
        <v>132</v>
      </c>
      <c r="D27" s="42">
        <v>0.94441512348993284</v>
      </c>
      <c r="E27" s="43">
        <v>0.94347999999999999</v>
      </c>
      <c r="F27" s="43">
        <v>4.8160000000000005E-4</v>
      </c>
      <c r="G27" s="43">
        <v>4.5352348993288593E-4</v>
      </c>
      <c r="K27" s="418"/>
      <c r="L27" s="401"/>
      <c r="M27" s="40" t="s">
        <v>96</v>
      </c>
      <c r="N27" s="43">
        <v>0.42338999999999999</v>
      </c>
      <c r="Z27">
        <v>2022</v>
      </c>
      <c r="AA27" t="s">
        <v>222</v>
      </c>
      <c r="AB27">
        <v>589</v>
      </c>
    </row>
    <row r="28" spans="1:28" x14ac:dyDescent="0.25">
      <c r="A28" s="406"/>
      <c r="B28" s="409"/>
      <c r="C28" s="40" t="s">
        <v>133</v>
      </c>
      <c r="D28" s="42">
        <v>0.19916861879194633</v>
      </c>
      <c r="E28" s="43">
        <v>0.19897000000000001</v>
      </c>
      <c r="F28" s="43">
        <v>1.0080000000000001E-4</v>
      </c>
      <c r="G28" s="43">
        <v>9.7818791946308734E-5</v>
      </c>
      <c r="K28" s="418"/>
      <c r="L28" s="401"/>
      <c r="M28" s="40" t="s">
        <v>57</v>
      </c>
      <c r="N28" s="43">
        <v>1.8890000000000001E-2</v>
      </c>
      <c r="Z28">
        <v>2022</v>
      </c>
      <c r="AA28" t="s">
        <v>223</v>
      </c>
      <c r="AB28">
        <v>658</v>
      </c>
    </row>
    <row r="29" spans="1:28" x14ac:dyDescent="0.25">
      <c r="A29" s="406"/>
      <c r="B29" s="410"/>
      <c r="C29" s="40" t="s">
        <v>134</v>
      </c>
      <c r="D29" s="42">
        <v>0.18322852617449664</v>
      </c>
      <c r="E29" s="43">
        <v>0.18304999999999999</v>
      </c>
      <c r="F29" s="43">
        <v>8.9600000000000009E-5</v>
      </c>
      <c r="G29" s="43">
        <v>8.8926174496644302E-5</v>
      </c>
      <c r="K29" s="418"/>
      <c r="L29" s="401" t="s">
        <v>178</v>
      </c>
      <c r="M29" s="40" t="s">
        <v>132</v>
      </c>
      <c r="N29" s="43">
        <v>0.16750999999999999</v>
      </c>
      <c r="Z29">
        <v>2020</v>
      </c>
      <c r="AA29" t="s">
        <v>197</v>
      </c>
      <c r="AB29">
        <v>227</v>
      </c>
    </row>
    <row r="30" spans="1:28" x14ac:dyDescent="0.25">
      <c r="A30" s="406"/>
      <c r="B30" s="408" t="s">
        <v>142</v>
      </c>
      <c r="C30" s="40" t="s">
        <v>131</v>
      </c>
      <c r="D30" s="42">
        <v>2997.632334228188</v>
      </c>
      <c r="E30" s="43">
        <v>2993.4</v>
      </c>
      <c r="F30" s="43">
        <v>2.5872000000000002</v>
      </c>
      <c r="G30" s="43">
        <v>1.6451342281879195</v>
      </c>
      <c r="K30" s="418"/>
      <c r="L30" s="401"/>
      <c r="M30" s="40" t="s">
        <v>96</v>
      </c>
      <c r="N30" s="43">
        <v>5.0596100000000002</v>
      </c>
      <c r="Z30">
        <v>2019</v>
      </c>
      <c r="AA30" t="s">
        <v>197</v>
      </c>
      <c r="AB30">
        <v>255</v>
      </c>
    </row>
    <row r="31" spans="1:28" x14ac:dyDescent="0.25">
      <c r="A31" s="406"/>
      <c r="B31" s="409"/>
      <c r="C31" s="40" t="s">
        <v>57</v>
      </c>
      <c r="D31" s="42">
        <f>D30/1000</f>
        <v>2.9976323342281881</v>
      </c>
      <c r="E31" s="42">
        <f>E30/1000</f>
        <v>2.9934000000000003</v>
      </c>
      <c r="F31" s="42">
        <f>F30/1000</f>
        <v>2.5872E-3</v>
      </c>
      <c r="G31" s="42">
        <f>G30/1000</f>
        <v>1.6451342281879197E-3</v>
      </c>
      <c r="K31" s="418"/>
      <c r="L31" s="401"/>
      <c r="M31" s="40"/>
      <c r="N31" s="43"/>
    </row>
    <row r="32" spans="1:28" x14ac:dyDescent="0.25">
      <c r="A32" s="406"/>
      <c r="B32" s="409" t="s">
        <v>142</v>
      </c>
      <c r="C32" s="40" t="s">
        <v>132</v>
      </c>
      <c r="D32" s="42">
        <v>1.543577598657718</v>
      </c>
      <c r="E32" s="43">
        <v>1.5414000000000001</v>
      </c>
      <c r="F32" s="43">
        <v>1.3328000000000003E-3</v>
      </c>
      <c r="G32" s="43">
        <v>8.4479865771812076E-4</v>
      </c>
      <c r="K32" s="418"/>
      <c r="L32" s="401"/>
      <c r="M32" s="40" t="s">
        <v>57</v>
      </c>
      <c r="N32" s="43">
        <v>0.18822</v>
      </c>
      <c r="Z32">
        <v>2018</v>
      </c>
      <c r="AA32" t="s">
        <v>197</v>
      </c>
      <c r="AB32">
        <v>289</v>
      </c>
    </row>
    <row r="33" spans="1:28" x14ac:dyDescent="0.25">
      <c r="A33" s="406"/>
      <c r="B33" s="409" t="s">
        <v>142</v>
      </c>
      <c r="C33" s="40" t="s">
        <v>133</v>
      </c>
      <c r="D33" s="42">
        <v>0.23257609664429532</v>
      </c>
      <c r="E33" s="43">
        <v>0.23225000000000001</v>
      </c>
      <c r="F33" s="43">
        <v>2.0160000000000002E-4</v>
      </c>
      <c r="G33" s="43">
        <v>1.2449664429530201E-4</v>
      </c>
      <c r="K33" s="418"/>
      <c r="L33" s="401" t="s">
        <v>179</v>
      </c>
      <c r="M33" s="40" t="s">
        <v>132</v>
      </c>
      <c r="N33" s="63"/>
      <c r="Z33">
        <v>2021</v>
      </c>
      <c r="AA33" t="s">
        <v>199</v>
      </c>
      <c r="AB33">
        <v>47</v>
      </c>
    </row>
    <row r="34" spans="1:28" x14ac:dyDescent="0.25">
      <c r="A34" s="407"/>
      <c r="B34" s="410" t="s">
        <v>142</v>
      </c>
      <c r="C34" s="40" t="s">
        <v>134</v>
      </c>
      <c r="D34" s="42">
        <v>0.21410480402684562</v>
      </c>
      <c r="E34" s="43">
        <v>0.21381</v>
      </c>
      <c r="F34" s="43">
        <v>1.7920000000000002E-4</v>
      </c>
      <c r="G34" s="43">
        <v>1.1560402684563757E-4</v>
      </c>
      <c r="K34" s="418"/>
      <c r="L34" s="401"/>
      <c r="M34" s="40" t="s">
        <v>96</v>
      </c>
      <c r="N34" s="43">
        <v>0.10901</v>
      </c>
      <c r="Z34">
        <v>2021</v>
      </c>
      <c r="AA34" t="s">
        <v>200</v>
      </c>
      <c r="AB34">
        <v>70</v>
      </c>
    </row>
    <row r="35" spans="1:28" x14ac:dyDescent="0.25">
      <c r="A35" s="45"/>
      <c r="B35" s="45"/>
      <c r="C35" s="45"/>
      <c r="D35" s="46"/>
      <c r="E35" s="46"/>
      <c r="F35" s="46"/>
      <c r="G35" s="46"/>
      <c r="K35" s="418"/>
      <c r="L35" s="401"/>
      <c r="M35" s="40" t="s">
        <v>57</v>
      </c>
      <c r="N35" s="43">
        <v>5.3400000000000001E-3</v>
      </c>
      <c r="Z35">
        <v>2021</v>
      </c>
      <c r="AA35" t="s">
        <v>201</v>
      </c>
      <c r="AB35">
        <v>56</v>
      </c>
    </row>
    <row r="36" spans="1:28" x14ac:dyDescent="0.25">
      <c r="A36" s="45"/>
      <c r="B36" s="45"/>
      <c r="C36" s="45"/>
      <c r="D36" s="46"/>
      <c r="E36" s="46"/>
      <c r="F36" s="46"/>
      <c r="G36" s="46"/>
      <c r="K36" s="418"/>
      <c r="L36" s="401" t="s">
        <v>180</v>
      </c>
      <c r="M36" s="40" t="s">
        <v>132</v>
      </c>
      <c r="N36" s="43">
        <v>6.6899999999999998E-3</v>
      </c>
      <c r="Z36">
        <v>2021</v>
      </c>
      <c r="AA36" t="s">
        <v>202</v>
      </c>
      <c r="AB36">
        <v>97</v>
      </c>
    </row>
    <row r="37" spans="1:28" x14ac:dyDescent="0.25">
      <c r="A37" s="45"/>
      <c r="B37" s="45"/>
      <c r="C37" s="45"/>
      <c r="D37" s="46"/>
      <c r="E37" s="46"/>
      <c r="F37" s="46"/>
      <c r="G37" s="46"/>
      <c r="K37" s="418"/>
      <c r="L37" s="401"/>
      <c r="M37" s="40" t="s">
        <v>96</v>
      </c>
      <c r="N37" s="43">
        <v>0.42338999999999999</v>
      </c>
      <c r="Z37">
        <v>2021</v>
      </c>
      <c r="AA37" t="s">
        <v>203</v>
      </c>
      <c r="AB37">
        <v>81</v>
      </c>
    </row>
    <row r="38" spans="1:28" ht="18" x14ac:dyDescent="0.35">
      <c r="A38" s="39" t="s">
        <v>123</v>
      </c>
      <c r="B38" s="39" t="s">
        <v>82</v>
      </c>
      <c r="C38" s="39" t="s">
        <v>124</v>
      </c>
      <c r="D38" s="40" t="s">
        <v>125</v>
      </c>
      <c r="E38" s="40" t="s">
        <v>126</v>
      </c>
      <c r="F38" s="41" t="s">
        <v>127</v>
      </c>
      <c r="G38" s="41" t="s">
        <v>128</v>
      </c>
      <c r="K38" s="418"/>
      <c r="L38" s="401"/>
      <c r="M38" s="40" t="s">
        <v>57</v>
      </c>
      <c r="N38" s="43">
        <v>8.4399999999999996E-3</v>
      </c>
      <c r="Z38">
        <v>2021</v>
      </c>
      <c r="AA38" t="s">
        <v>204</v>
      </c>
      <c r="AB38">
        <v>122</v>
      </c>
    </row>
    <row r="39" spans="1:28" x14ac:dyDescent="0.25">
      <c r="A39" s="420" t="s">
        <v>143</v>
      </c>
      <c r="B39" s="408" t="s">
        <v>144</v>
      </c>
      <c r="C39" s="40" t="s">
        <v>131</v>
      </c>
      <c r="D39" s="42">
        <v>3193.6948000000002</v>
      </c>
      <c r="E39" s="47">
        <v>3127.67</v>
      </c>
      <c r="F39" s="47">
        <v>39.524800000000006</v>
      </c>
      <c r="G39" s="47">
        <v>26.5</v>
      </c>
      <c r="K39" s="418"/>
      <c r="L39" s="401" t="s">
        <v>181</v>
      </c>
      <c r="M39" s="40" t="s">
        <v>132</v>
      </c>
      <c r="N39" s="43">
        <v>2.5360000000000001E-2</v>
      </c>
      <c r="Z39">
        <v>2021</v>
      </c>
      <c r="AA39" t="s">
        <v>205</v>
      </c>
      <c r="AB39">
        <v>115</v>
      </c>
    </row>
    <row r="40" spans="1:28" x14ac:dyDescent="0.25">
      <c r="A40" s="421"/>
      <c r="B40" s="409"/>
      <c r="C40" s="40" t="s">
        <v>132</v>
      </c>
      <c r="D40" s="42">
        <v>2.3311626429530206</v>
      </c>
      <c r="E40" s="43">
        <v>2.2829700000000002</v>
      </c>
      <c r="F40" s="43">
        <v>2.8851200000000004E-2</v>
      </c>
      <c r="G40" s="43">
        <v>1.9341442953020132E-2</v>
      </c>
      <c r="K40" s="418"/>
      <c r="L40" s="401"/>
      <c r="M40" s="40" t="s">
        <v>96</v>
      </c>
      <c r="N40" s="43">
        <v>0.72340000000000004</v>
      </c>
      <c r="Z40">
        <v>2021</v>
      </c>
      <c r="AA40" t="s">
        <v>206</v>
      </c>
      <c r="AB40">
        <v>134</v>
      </c>
    </row>
    <row r="41" spans="1:28" x14ac:dyDescent="0.25">
      <c r="A41" s="421"/>
      <c r="B41" s="409"/>
      <c r="C41" s="40" t="s">
        <v>133</v>
      </c>
      <c r="D41" s="42">
        <v>0.25665613557046979</v>
      </c>
      <c r="E41" s="43">
        <v>0.25135000000000002</v>
      </c>
      <c r="F41" s="43">
        <v>3.1808000000000006E-3</v>
      </c>
      <c r="G41" s="43">
        <v>2.1253355704697989E-3</v>
      </c>
      <c r="K41" s="419"/>
      <c r="L41" s="401"/>
      <c r="M41" s="40" t="s">
        <v>57</v>
      </c>
      <c r="N41" s="43">
        <v>3.1780000000000003E-2</v>
      </c>
      <c r="Z41">
        <v>2021</v>
      </c>
      <c r="AA41" t="s">
        <v>207</v>
      </c>
      <c r="AB41">
        <v>139</v>
      </c>
    </row>
    <row r="42" spans="1:28" x14ac:dyDescent="0.25">
      <c r="A42" s="421"/>
      <c r="B42" s="410"/>
      <c r="C42" s="40" t="s">
        <v>134</v>
      </c>
      <c r="D42" s="42">
        <v>0.2438203167785235</v>
      </c>
      <c r="E42" s="43">
        <v>0.23877999999999999</v>
      </c>
      <c r="F42" s="43">
        <v>3.0128000000000004E-3</v>
      </c>
      <c r="G42" s="43">
        <v>2.0275167785234896E-3</v>
      </c>
      <c r="K42" s="64"/>
      <c r="L42" s="45"/>
      <c r="M42" s="45"/>
      <c r="N42" s="46"/>
      <c r="Z42">
        <v>2017</v>
      </c>
      <c r="AA42" t="s">
        <v>197</v>
      </c>
      <c r="AB42">
        <v>302</v>
      </c>
    </row>
    <row r="43" spans="1:28" x14ac:dyDescent="0.25">
      <c r="A43" s="421"/>
      <c r="B43" s="408" t="s">
        <v>145</v>
      </c>
      <c r="C43" s="40" t="s">
        <v>131</v>
      </c>
      <c r="D43" s="42">
        <v>3178.3652000000002</v>
      </c>
      <c r="E43" s="47">
        <v>3149.67</v>
      </c>
      <c r="F43" s="47">
        <v>2.1952000000000003</v>
      </c>
      <c r="G43" s="47">
        <v>26.5</v>
      </c>
      <c r="K43" s="64"/>
      <c r="L43" s="45"/>
      <c r="M43" s="45"/>
      <c r="N43" s="46"/>
      <c r="Z43">
        <v>2021</v>
      </c>
      <c r="AA43" t="s">
        <v>209</v>
      </c>
      <c r="AB43">
        <v>143</v>
      </c>
    </row>
    <row r="44" spans="1:28" x14ac:dyDescent="0.25">
      <c r="A44" s="421"/>
      <c r="B44" s="409"/>
      <c r="C44" s="40" t="s">
        <v>132</v>
      </c>
      <c r="D44" s="42">
        <v>2.5426883999999998</v>
      </c>
      <c r="E44" s="43">
        <v>2.51973</v>
      </c>
      <c r="F44" s="43">
        <v>1.7584000000000002E-3</v>
      </c>
      <c r="G44" s="43">
        <v>2.12E-2</v>
      </c>
      <c r="K44" s="64"/>
      <c r="L44" s="45"/>
      <c r="M44" s="45"/>
      <c r="N44" s="46"/>
      <c r="Z44">
        <v>2021</v>
      </c>
      <c r="AA44" t="s">
        <v>210</v>
      </c>
      <c r="AB44">
        <v>188</v>
      </c>
    </row>
    <row r="45" spans="1:28" ht="18" x14ac:dyDescent="0.35">
      <c r="A45" s="421"/>
      <c r="B45" s="409"/>
      <c r="C45" s="40" t="s">
        <v>133</v>
      </c>
      <c r="D45" s="42">
        <v>0.26060899865771808</v>
      </c>
      <c r="E45" s="43">
        <v>0.25825999999999999</v>
      </c>
      <c r="F45" s="43">
        <v>1.7920000000000002E-4</v>
      </c>
      <c r="G45" s="43">
        <v>2.1697986577181205E-3</v>
      </c>
      <c r="K45" s="61" t="s">
        <v>123</v>
      </c>
      <c r="L45" s="39" t="s">
        <v>82</v>
      </c>
      <c r="M45" s="39" t="s">
        <v>124</v>
      </c>
      <c r="N45" s="41" t="s">
        <v>125</v>
      </c>
      <c r="Z45">
        <v>2021</v>
      </c>
      <c r="AA45" t="s">
        <v>211</v>
      </c>
      <c r="AB45">
        <v>165</v>
      </c>
    </row>
    <row r="46" spans="1:28" x14ac:dyDescent="0.25">
      <c r="A46" s="421"/>
      <c r="B46" s="410"/>
      <c r="C46" s="40" t="s">
        <v>134</v>
      </c>
      <c r="D46" s="42">
        <v>0.24758108724832217</v>
      </c>
      <c r="E46" s="43">
        <v>0.24535000000000001</v>
      </c>
      <c r="F46" s="43">
        <v>1.6799999999999999E-4</v>
      </c>
      <c r="G46" s="43">
        <v>2.0630872483221475E-3</v>
      </c>
      <c r="K46" s="416" t="s">
        <v>182</v>
      </c>
      <c r="L46" s="411" t="s">
        <v>183</v>
      </c>
      <c r="M46" s="40" t="s">
        <v>131</v>
      </c>
      <c r="N46" s="44">
        <v>43.893270000000001</v>
      </c>
      <c r="Z46">
        <v>2021</v>
      </c>
      <c r="AA46" t="s">
        <v>212</v>
      </c>
      <c r="AB46">
        <v>215</v>
      </c>
    </row>
    <row r="47" spans="1:28" x14ac:dyDescent="0.25">
      <c r="A47" s="421"/>
      <c r="B47" s="398" t="s">
        <v>146</v>
      </c>
      <c r="C47" s="40" t="s">
        <v>131</v>
      </c>
      <c r="D47" s="42">
        <v>3165.0418120805371</v>
      </c>
      <c r="E47" s="47">
        <v>3149.67</v>
      </c>
      <c r="F47" s="47">
        <v>8.4</v>
      </c>
      <c r="G47" s="47">
        <v>6.9718120805369121</v>
      </c>
      <c r="K47" s="416"/>
      <c r="L47" s="411"/>
      <c r="M47" s="40" t="s">
        <v>184</v>
      </c>
      <c r="N47" s="44">
        <v>1.074E-2</v>
      </c>
      <c r="Z47">
        <v>2021</v>
      </c>
      <c r="AA47" t="s">
        <v>213</v>
      </c>
      <c r="AB47">
        <v>241</v>
      </c>
    </row>
    <row r="48" spans="1:28" x14ac:dyDescent="0.25">
      <c r="A48" s="421"/>
      <c r="B48" s="399"/>
      <c r="C48" s="40" t="s">
        <v>132</v>
      </c>
      <c r="D48" s="42">
        <v>2.5401558563758391</v>
      </c>
      <c r="E48" s="43">
        <v>2.5278200000000002</v>
      </c>
      <c r="F48" s="43">
        <v>6.7424000000000008E-3</v>
      </c>
      <c r="G48" s="43">
        <v>5.5934563758389261E-3</v>
      </c>
      <c r="K48" s="416"/>
      <c r="L48" s="411" t="s">
        <v>185</v>
      </c>
      <c r="M48" s="40" t="s">
        <v>131</v>
      </c>
      <c r="N48" s="44">
        <v>40.581139999999998</v>
      </c>
      <c r="Z48">
        <v>2021</v>
      </c>
      <c r="AA48" t="s">
        <v>214</v>
      </c>
      <c r="AB48">
        <v>236</v>
      </c>
    </row>
    <row r="49" spans="1:28" x14ac:dyDescent="0.25">
      <c r="A49" s="421"/>
      <c r="B49" s="399"/>
      <c r="C49" s="40" t="s">
        <v>133</v>
      </c>
      <c r="D49" s="42">
        <v>0.25975352751677849</v>
      </c>
      <c r="E49" s="43">
        <v>0.25849</v>
      </c>
      <c r="F49" s="43">
        <v>6.9440000000000007E-4</v>
      </c>
      <c r="G49" s="43">
        <v>5.6912751677852351E-4</v>
      </c>
      <c r="K49" s="416"/>
      <c r="L49" s="411"/>
      <c r="M49" s="40" t="s">
        <v>184</v>
      </c>
      <c r="N49" s="44">
        <v>1.074E-2</v>
      </c>
      <c r="Z49">
        <v>2021</v>
      </c>
      <c r="AA49" t="s">
        <v>215</v>
      </c>
      <c r="AB49">
        <v>332</v>
      </c>
    </row>
    <row r="50" spans="1:28" x14ac:dyDescent="0.25">
      <c r="A50" s="421"/>
      <c r="B50" s="400"/>
      <c r="C50" s="40" t="s">
        <v>134</v>
      </c>
      <c r="D50" s="42">
        <v>0.24677324966442954</v>
      </c>
      <c r="E50" s="43">
        <v>0.24557000000000001</v>
      </c>
      <c r="F50" s="43">
        <v>6.6080000000000012E-4</v>
      </c>
      <c r="G50" s="43">
        <v>5.4244966442953014E-4</v>
      </c>
      <c r="K50" s="416"/>
      <c r="L50" s="411" t="s">
        <v>186</v>
      </c>
      <c r="M50" s="40" t="s">
        <v>131</v>
      </c>
      <c r="N50" s="44">
        <v>51.561920000000001</v>
      </c>
      <c r="Z50">
        <v>2021</v>
      </c>
      <c r="AA50" t="s">
        <v>216</v>
      </c>
      <c r="AB50">
        <v>338</v>
      </c>
    </row>
    <row r="51" spans="1:28" x14ac:dyDescent="0.25">
      <c r="A51" s="421"/>
      <c r="B51" s="398" t="s">
        <v>147</v>
      </c>
      <c r="C51" s="40" t="s">
        <v>131</v>
      </c>
      <c r="D51" s="42">
        <v>3015.6546161073829</v>
      </c>
      <c r="E51" s="47">
        <v>2976.42</v>
      </c>
      <c r="F51" s="47">
        <v>0.34720000000000001</v>
      </c>
      <c r="G51" s="47">
        <v>38.887416107382549</v>
      </c>
      <c r="K51" s="416"/>
      <c r="L51" s="411"/>
      <c r="M51" s="40" t="s">
        <v>184</v>
      </c>
      <c r="N51" s="44">
        <v>1.074E-2</v>
      </c>
      <c r="Z51">
        <v>2021</v>
      </c>
      <c r="AA51" t="s">
        <v>217</v>
      </c>
      <c r="AB51">
        <v>349</v>
      </c>
    </row>
    <row r="52" spans="1:28" x14ac:dyDescent="0.25">
      <c r="A52" s="421"/>
      <c r="B52" s="399"/>
      <c r="C52" s="40" t="s">
        <v>132</v>
      </c>
      <c r="D52" s="42">
        <v>2.5120638845637586</v>
      </c>
      <c r="E52" s="43">
        <v>2.4788700000000001</v>
      </c>
      <c r="F52" s="43">
        <v>2.9119999999999998E-4</v>
      </c>
      <c r="G52" s="43">
        <v>3.2902684563758389E-2</v>
      </c>
      <c r="K52" s="416"/>
      <c r="L52" s="411" t="s">
        <v>187</v>
      </c>
      <c r="M52" s="40" t="s">
        <v>131</v>
      </c>
      <c r="N52" s="44">
        <v>57.633420000000001</v>
      </c>
      <c r="Z52">
        <v>2016</v>
      </c>
      <c r="AA52" t="s">
        <v>197</v>
      </c>
      <c r="AB52">
        <v>303</v>
      </c>
    </row>
    <row r="53" spans="1:28" x14ac:dyDescent="0.25">
      <c r="A53" s="421"/>
      <c r="B53" s="399"/>
      <c r="C53" s="40" t="s">
        <v>133</v>
      </c>
      <c r="D53" s="42">
        <v>0.2540927610738255</v>
      </c>
      <c r="E53" s="43">
        <v>0.25075999999999998</v>
      </c>
      <c r="F53" s="43">
        <v>3.3600000000000004E-5</v>
      </c>
      <c r="G53" s="43">
        <v>3.2991610738255035E-3</v>
      </c>
      <c r="K53" s="416"/>
      <c r="L53" s="411"/>
      <c r="M53" s="40" t="s">
        <v>184</v>
      </c>
      <c r="N53" s="44">
        <v>1.55E-2</v>
      </c>
      <c r="Z53">
        <v>2021</v>
      </c>
      <c r="AA53" t="s">
        <v>219</v>
      </c>
      <c r="AB53">
        <v>395</v>
      </c>
    </row>
    <row r="54" spans="1:28" x14ac:dyDescent="0.25">
      <c r="A54" s="421"/>
      <c r="B54" s="400"/>
      <c r="C54" s="40" t="s">
        <v>134</v>
      </c>
      <c r="D54" s="42">
        <v>0.2390759234899329</v>
      </c>
      <c r="E54" s="43">
        <v>0.23594999999999999</v>
      </c>
      <c r="F54" s="43">
        <v>2.2400000000000002E-5</v>
      </c>
      <c r="G54" s="43">
        <v>3.1035234899328859E-3</v>
      </c>
      <c r="K54" s="64"/>
      <c r="L54" s="45"/>
      <c r="M54" s="45"/>
      <c r="N54" s="45"/>
      <c r="Z54">
        <v>2021</v>
      </c>
      <c r="AA54" t="s">
        <v>220</v>
      </c>
      <c r="AB54">
        <v>397</v>
      </c>
    </row>
    <row r="55" spans="1:28" x14ac:dyDescent="0.25">
      <c r="A55" s="421"/>
      <c r="B55" s="398" t="s">
        <v>148</v>
      </c>
      <c r="C55" s="40" t="s">
        <v>131</v>
      </c>
      <c r="D55" s="42">
        <v>3203.9114281879197</v>
      </c>
      <c r="E55" s="47">
        <v>3164.33</v>
      </c>
      <c r="F55" s="47">
        <v>0.34720000000000001</v>
      </c>
      <c r="G55" s="47">
        <v>39.234228187919463</v>
      </c>
      <c r="K55" s="64"/>
      <c r="L55" s="45"/>
      <c r="M55" s="45"/>
      <c r="N55" s="45"/>
      <c r="Z55">
        <v>2021</v>
      </c>
      <c r="AA55" t="s">
        <v>221</v>
      </c>
      <c r="AB55">
        <v>398</v>
      </c>
    </row>
    <row r="56" spans="1:28" x14ac:dyDescent="0.25">
      <c r="A56" s="421"/>
      <c r="B56" s="399"/>
      <c r="C56" s="40" t="s">
        <v>132</v>
      </c>
      <c r="D56" s="42">
        <v>2.6593717369127514</v>
      </c>
      <c r="E56" s="43">
        <v>2.6259999999999999</v>
      </c>
      <c r="F56" s="43">
        <v>2.9119999999999998E-4</v>
      </c>
      <c r="G56" s="43">
        <v>3.3080536912751674E-2</v>
      </c>
      <c r="K56" s="64"/>
      <c r="L56" s="45"/>
      <c r="M56" s="45"/>
      <c r="N56" s="45"/>
      <c r="Z56">
        <v>2021</v>
      </c>
      <c r="AA56" t="s">
        <v>222</v>
      </c>
      <c r="AB56">
        <v>605</v>
      </c>
    </row>
    <row r="57" spans="1:28" ht="18" x14ac:dyDescent="0.35">
      <c r="A57" s="421"/>
      <c r="B57" s="399"/>
      <c r="C57" s="40" t="s">
        <v>133</v>
      </c>
      <c r="D57" s="42">
        <v>0.2680227610738255</v>
      </c>
      <c r="E57" s="43">
        <v>0.26468999999999998</v>
      </c>
      <c r="F57" s="43">
        <v>3.3600000000000004E-5</v>
      </c>
      <c r="G57" s="43">
        <v>3.2991610738255035E-3</v>
      </c>
      <c r="K57" s="61" t="s">
        <v>123</v>
      </c>
      <c r="L57" s="39" t="s">
        <v>82</v>
      </c>
      <c r="M57" s="39" t="s">
        <v>124</v>
      </c>
      <c r="N57" s="40" t="s">
        <v>125</v>
      </c>
      <c r="Z57">
        <v>2021</v>
      </c>
      <c r="AA57" t="s">
        <v>223</v>
      </c>
      <c r="AB57">
        <v>655</v>
      </c>
    </row>
    <row r="58" spans="1:28" x14ac:dyDescent="0.25">
      <c r="A58" s="421"/>
      <c r="B58" s="400"/>
      <c r="C58" s="40" t="s">
        <v>134</v>
      </c>
      <c r="D58" s="42">
        <v>0.25192703087248325</v>
      </c>
      <c r="E58" s="43">
        <v>0.24881</v>
      </c>
      <c r="F58" s="43">
        <v>2.2400000000000002E-5</v>
      </c>
      <c r="G58" s="43">
        <v>3.0946308724832216E-3</v>
      </c>
      <c r="K58" s="416" t="s">
        <v>188</v>
      </c>
      <c r="L58" s="411" t="s">
        <v>188</v>
      </c>
      <c r="M58" s="40" t="s">
        <v>131</v>
      </c>
      <c r="N58" s="44">
        <v>1.2359500000000001</v>
      </c>
      <c r="Z58">
        <v>2015</v>
      </c>
      <c r="AA58" t="s">
        <v>197</v>
      </c>
      <c r="AB58">
        <v>313</v>
      </c>
    </row>
    <row r="59" spans="1:28" x14ac:dyDescent="0.25">
      <c r="A59" s="421"/>
      <c r="B59" s="398" t="s">
        <v>149</v>
      </c>
      <c r="C59" s="40" t="s">
        <v>131</v>
      </c>
      <c r="D59" s="42">
        <v>3228.8901865771813</v>
      </c>
      <c r="E59" s="47">
        <v>3216.38</v>
      </c>
      <c r="F59" s="47">
        <v>5.3872</v>
      </c>
      <c r="G59" s="47">
        <v>7.1229865771812078</v>
      </c>
      <c r="K59" s="416"/>
      <c r="L59" s="411"/>
      <c r="M59" s="40" t="s">
        <v>184</v>
      </c>
      <c r="N59" s="44">
        <v>2.2000000000000001E-4</v>
      </c>
      <c r="Z59">
        <v>2014</v>
      </c>
      <c r="AA59" t="s">
        <v>197</v>
      </c>
      <c r="AB59">
        <v>313</v>
      </c>
    </row>
    <row r="60" spans="1:28" x14ac:dyDescent="0.25">
      <c r="A60" s="421"/>
      <c r="B60" s="399"/>
      <c r="C60" s="40" t="s">
        <v>132</v>
      </c>
      <c r="D60" s="42">
        <v>3.1749249825503356</v>
      </c>
      <c r="E60" s="43">
        <v>3.16262</v>
      </c>
      <c r="F60" s="43">
        <v>5.2976000000000004E-3</v>
      </c>
      <c r="G60" s="43">
        <v>7.00738255033557E-3</v>
      </c>
      <c r="K60" s="416"/>
      <c r="L60" s="411" t="s">
        <v>189</v>
      </c>
      <c r="M60" s="40" t="s">
        <v>131</v>
      </c>
      <c r="N60" s="44">
        <v>0.69479000000000002</v>
      </c>
      <c r="Z60">
        <v>2013</v>
      </c>
      <c r="AA60" t="s">
        <v>197</v>
      </c>
      <c r="AB60">
        <v>322</v>
      </c>
    </row>
    <row r="61" spans="1:28" x14ac:dyDescent="0.25">
      <c r="A61" s="421"/>
      <c r="B61" s="399"/>
      <c r="C61" s="40" t="s">
        <v>133</v>
      </c>
      <c r="D61" s="42">
        <v>0.28523177583892617</v>
      </c>
      <c r="E61" s="43">
        <v>0.28412999999999999</v>
      </c>
      <c r="F61" s="43">
        <v>4.7040000000000005E-4</v>
      </c>
      <c r="G61" s="43">
        <v>6.3137583892617451E-4</v>
      </c>
      <c r="K61" s="416"/>
      <c r="L61" s="411"/>
      <c r="M61" s="40" t="s">
        <v>184</v>
      </c>
      <c r="N61" s="44">
        <v>2.0000000000000001E-4</v>
      </c>
      <c r="Z61">
        <v>2012</v>
      </c>
      <c r="AA61" t="s">
        <v>197</v>
      </c>
      <c r="AB61">
        <v>338</v>
      </c>
    </row>
    <row r="62" spans="1:28" x14ac:dyDescent="0.25">
      <c r="A62" s="421"/>
      <c r="B62" s="400"/>
      <c r="C62" s="40" t="s">
        <v>134</v>
      </c>
      <c r="D62" s="42">
        <v>0.26813380536912751</v>
      </c>
      <c r="E62" s="43">
        <v>0.26708999999999999</v>
      </c>
      <c r="F62" s="43">
        <v>4.4800000000000005E-4</v>
      </c>
      <c r="G62" s="43">
        <v>5.9580536912751678E-4</v>
      </c>
      <c r="Z62">
        <v>2020</v>
      </c>
      <c r="AA62" t="s">
        <v>199</v>
      </c>
      <c r="AB62">
        <v>57</v>
      </c>
    </row>
    <row r="63" spans="1:28" x14ac:dyDescent="0.25">
      <c r="A63" s="421"/>
      <c r="B63" s="398" t="s">
        <v>150</v>
      </c>
      <c r="C63" s="40" t="s">
        <v>131</v>
      </c>
      <c r="D63" s="42">
        <v>3226.5785919463087</v>
      </c>
      <c r="E63" s="47">
        <v>3190</v>
      </c>
      <c r="F63" s="47">
        <v>3.6848000000000005</v>
      </c>
      <c r="G63" s="47">
        <v>32.893791946308724</v>
      </c>
      <c r="Z63">
        <v>2020</v>
      </c>
      <c r="AA63" t="s">
        <v>200</v>
      </c>
      <c r="AB63">
        <v>64</v>
      </c>
    </row>
    <row r="64" spans="1:28" x14ac:dyDescent="0.25">
      <c r="A64" s="421"/>
      <c r="B64" s="399"/>
      <c r="C64" s="40" t="s">
        <v>132</v>
      </c>
      <c r="D64" s="42">
        <v>2.7554089785234899</v>
      </c>
      <c r="E64" s="43">
        <v>2.72417</v>
      </c>
      <c r="F64" s="43">
        <v>3.1472000000000002E-3</v>
      </c>
      <c r="G64" s="43">
        <v>2.8091778523489933E-2</v>
      </c>
      <c r="Z64">
        <v>2020</v>
      </c>
      <c r="AA64" t="s">
        <v>201</v>
      </c>
      <c r="AB64">
        <v>56</v>
      </c>
    </row>
    <row r="65" spans="1:28" x14ac:dyDescent="0.25">
      <c r="A65" s="421"/>
      <c r="B65" s="399"/>
      <c r="C65" s="40" t="s">
        <v>133</v>
      </c>
      <c r="D65" s="42">
        <v>0.27287698926174503</v>
      </c>
      <c r="E65" s="43">
        <v>0.26978000000000002</v>
      </c>
      <c r="F65" s="43">
        <v>3.1359999999999998E-4</v>
      </c>
      <c r="G65" s="43">
        <v>2.7833892617449662E-3</v>
      </c>
      <c r="Z65">
        <v>2020</v>
      </c>
      <c r="AA65" t="s">
        <v>202</v>
      </c>
      <c r="AB65">
        <v>103</v>
      </c>
    </row>
    <row r="66" spans="1:28" x14ac:dyDescent="0.25">
      <c r="A66" s="421"/>
      <c r="B66" s="400"/>
      <c r="C66" s="40" t="s">
        <v>134</v>
      </c>
      <c r="D66" s="42">
        <v>0.25649562953020133</v>
      </c>
      <c r="E66" s="43">
        <v>0.25358999999999998</v>
      </c>
      <c r="F66" s="43">
        <v>2.9119999999999998E-4</v>
      </c>
      <c r="G66" s="43">
        <v>2.6144295302013422E-3</v>
      </c>
      <c r="Z66">
        <v>2020</v>
      </c>
      <c r="AA66" t="s">
        <v>203</v>
      </c>
      <c r="AB66">
        <v>78</v>
      </c>
    </row>
    <row r="67" spans="1:28" x14ac:dyDescent="0.25">
      <c r="A67" s="421"/>
      <c r="B67" s="402" t="s">
        <v>151</v>
      </c>
      <c r="C67" s="40" t="s">
        <v>131</v>
      </c>
      <c r="D67" s="42">
        <v>3180.9999181208054</v>
      </c>
      <c r="E67" s="47">
        <v>3171.09</v>
      </c>
      <c r="F67" s="47">
        <v>3.4272000000000005</v>
      </c>
      <c r="G67" s="47">
        <v>6.4827181208053695</v>
      </c>
      <c r="Z67">
        <v>2020</v>
      </c>
      <c r="AA67" t="s">
        <v>204</v>
      </c>
      <c r="AB67">
        <v>111</v>
      </c>
    </row>
    <row r="68" spans="1:28" x14ac:dyDescent="0.25">
      <c r="A68" s="421"/>
      <c r="B68" s="403" t="s">
        <v>151</v>
      </c>
      <c r="C68" s="40" t="s">
        <v>132</v>
      </c>
      <c r="D68" s="42">
        <v>2.7493391489932888</v>
      </c>
      <c r="E68" s="47">
        <v>2.74078</v>
      </c>
      <c r="F68" s="47">
        <v>2.9568000000000003E-3</v>
      </c>
      <c r="G68" s="47">
        <v>5.6023489932885903E-3</v>
      </c>
      <c r="Z68">
        <v>2020</v>
      </c>
      <c r="AA68" t="s">
        <v>205</v>
      </c>
      <c r="AB68">
        <v>104</v>
      </c>
    </row>
    <row r="69" spans="1:28" x14ac:dyDescent="0.25">
      <c r="A69" s="421"/>
      <c r="B69" s="403" t="s">
        <v>151</v>
      </c>
      <c r="C69" s="40" t="s">
        <v>133</v>
      </c>
      <c r="D69" s="42">
        <v>0.28100152751677848</v>
      </c>
      <c r="E69" s="43">
        <v>0.28012999999999999</v>
      </c>
      <c r="F69" s="43">
        <v>3.0240000000000003E-4</v>
      </c>
      <c r="G69" s="43">
        <v>5.6912751677852351E-4</v>
      </c>
      <c r="Z69">
        <v>2020</v>
      </c>
      <c r="AA69" t="s">
        <v>206</v>
      </c>
      <c r="AB69">
        <v>155</v>
      </c>
    </row>
    <row r="70" spans="1:28" x14ac:dyDescent="0.25">
      <c r="A70" s="421"/>
      <c r="B70" s="404" t="s">
        <v>151</v>
      </c>
      <c r="C70" s="40" t="s">
        <v>134</v>
      </c>
      <c r="D70" s="42">
        <v>0.26414244966442951</v>
      </c>
      <c r="E70" s="43">
        <v>0.26332</v>
      </c>
      <c r="F70" s="43">
        <v>2.8000000000000003E-4</v>
      </c>
      <c r="G70" s="43">
        <v>5.4244966442953014E-4</v>
      </c>
      <c r="Z70">
        <v>2020</v>
      </c>
      <c r="AA70" t="s">
        <v>207</v>
      </c>
      <c r="AB70">
        <v>167</v>
      </c>
    </row>
    <row r="71" spans="1:28" x14ac:dyDescent="0.25">
      <c r="A71" s="421"/>
      <c r="B71" s="402" t="s">
        <v>152</v>
      </c>
      <c r="C71" s="40" t="s">
        <v>131</v>
      </c>
      <c r="D71" s="42">
        <v>3142.3788979865772</v>
      </c>
      <c r="E71" s="47">
        <v>3131.33</v>
      </c>
      <c r="F71" s="47">
        <v>3.8192000000000004</v>
      </c>
      <c r="G71" s="47">
        <v>7.2296979865771815</v>
      </c>
      <c r="Z71">
        <v>2011</v>
      </c>
      <c r="AA71" t="s">
        <v>197</v>
      </c>
      <c r="AB71">
        <v>342</v>
      </c>
    </row>
    <row r="72" spans="1:28" x14ac:dyDescent="0.25">
      <c r="A72" s="421"/>
      <c r="B72" s="403" t="s">
        <v>152</v>
      </c>
      <c r="C72" s="40" t="s">
        <v>132</v>
      </c>
      <c r="D72" s="42">
        <v>2.1189391543624159</v>
      </c>
      <c r="E72" s="47">
        <v>2.1114899999999999</v>
      </c>
      <c r="F72" s="47">
        <v>2.5760000000000002E-3</v>
      </c>
      <c r="G72" s="47">
        <v>4.8731543624161069E-3</v>
      </c>
      <c r="Z72">
        <v>2020</v>
      </c>
      <c r="AA72" t="s">
        <v>209</v>
      </c>
      <c r="AB72">
        <v>164</v>
      </c>
    </row>
    <row r="73" spans="1:28" x14ac:dyDescent="0.25">
      <c r="A73" s="421"/>
      <c r="B73" s="403" t="s">
        <v>152</v>
      </c>
      <c r="C73" s="40" t="s">
        <v>133</v>
      </c>
      <c r="D73" s="42">
        <v>0.24891152751677853</v>
      </c>
      <c r="E73" s="43">
        <v>0.24804000000000001</v>
      </c>
      <c r="F73" s="43">
        <v>3.0240000000000003E-4</v>
      </c>
      <c r="G73" s="43">
        <v>5.6912751677852351E-4</v>
      </c>
      <c r="Z73">
        <v>2020</v>
      </c>
      <c r="AA73" t="s">
        <v>210</v>
      </c>
      <c r="AB73">
        <v>215</v>
      </c>
    </row>
    <row r="74" spans="1:28" x14ac:dyDescent="0.25">
      <c r="A74" s="421"/>
      <c r="B74" s="404" t="s">
        <v>152</v>
      </c>
      <c r="C74" s="48" t="s">
        <v>134</v>
      </c>
      <c r="D74" s="42">
        <v>0.23647364966442952</v>
      </c>
      <c r="E74" s="49">
        <v>0.23563999999999999</v>
      </c>
      <c r="F74" s="49">
        <v>2.9119999999999998E-4</v>
      </c>
      <c r="G74" s="49">
        <v>5.4244966442953014E-4</v>
      </c>
      <c r="Z74">
        <v>2020</v>
      </c>
      <c r="AA74" t="s">
        <v>211</v>
      </c>
      <c r="AB74">
        <v>168</v>
      </c>
    </row>
    <row r="75" spans="1:28" x14ac:dyDescent="0.25">
      <c r="A75" s="421"/>
      <c r="B75" s="402" t="s">
        <v>153</v>
      </c>
      <c r="C75" s="50" t="s">
        <v>131</v>
      </c>
      <c r="D75" s="42">
        <v>2806.6593516778526</v>
      </c>
      <c r="E75" s="51">
        <v>2787.93</v>
      </c>
      <c r="F75" s="51">
        <v>10.841600000000001</v>
      </c>
      <c r="G75" s="52">
        <v>7.8877516778523482</v>
      </c>
      <c r="Z75">
        <v>2020</v>
      </c>
      <c r="AA75" t="s">
        <v>212</v>
      </c>
      <c r="AB75">
        <v>220</v>
      </c>
    </row>
    <row r="76" spans="1:28" x14ac:dyDescent="0.25">
      <c r="A76" s="421"/>
      <c r="B76" s="403"/>
      <c r="C76" s="53" t="s">
        <v>132</v>
      </c>
      <c r="D76" s="42">
        <v>2.0974731275167788</v>
      </c>
      <c r="E76" s="43">
        <v>2.0835400000000002</v>
      </c>
      <c r="F76" s="43">
        <v>8.064E-3</v>
      </c>
      <c r="G76" s="54">
        <v>5.8691275167785236E-3</v>
      </c>
      <c r="Z76">
        <v>2020</v>
      </c>
      <c r="AA76" t="s">
        <v>213</v>
      </c>
      <c r="AB76">
        <v>254</v>
      </c>
    </row>
    <row r="77" spans="1:28" x14ac:dyDescent="0.25">
      <c r="A77" s="421"/>
      <c r="B77" s="403"/>
      <c r="C77" s="53" t="s">
        <v>133</v>
      </c>
      <c r="D77" s="42">
        <v>0.23396516107382551</v>
      </c>
      <c r="E77" s="43">
        <v>0.23241999999999999</v>
      </c>
      <c r="F77" s="43">
        <v>8.9600000000000009E-4</v>
      </c>
      <c r="G77" s="54">
        <v>6.4916107382550331E-4</v>
      </c>
      <c r="Z77">
        <v>2020</v>
      </c>
      <c r="AA77" t="s">
        <v>214</v>
      </c>
      <c r="AB77">
        <v>216</v>
      </c>
    </row>
    <row r="78" spans="1:28" x14ac:dyDescent="0.25">
      <c r="A78" s="421"/>
      <c r="B78" s="404"/>
      <c r="C78" s="55" t="s">
        <v>134</v>
      </c>
      <c r="D78" s="42">
        <v>0.22166359060402685</v>
      </c>
      <c r="E78" s="56">
        <v>0.22020999999999999</v>
      </c>
      <c r="F78" s="56">
        <v>8.4000000000000014E-4</v>
      </c>
      <c r="G78" s="57">
        <v>6.1359060402684559E-4</v>
      </c>
      <c r="Z78">
        <v>2020</v>
      </c>
      <c r="AA78" t="s">
        <v>215</v>
      </c>
      <c r="AB78">
        <v>280</v>
      </c>
    </row>
    <row r="79" spans="1:28" x14ac:dyDescent="0.25">
      <c r="A79" s="421"/>
      <c r="B79" s="398" t="s">
        <v>154</v>
      </c>
      <c r="C79" s="58" t="s">
        <v>131</v>
      </c>
      <c r="D79" s="42">
        <v>3154.0821261744968</v>
      </c>
      <c r="E79" s="59">
        <v>3135</v>
      </c>
      <c r="F79" s="59">
        <v>11.043200000000001</v>
      </c>
      <c r="G79" s="59">
        <v>8.0389261744966429</v>
      </c>
      <c r="Z79">
        <v>2020</v>
      </c>
      <c r="AA79" t="s">
        <v>216</v>
      </c>
      <c r="AB79">
        <v>329</v>
      </c>
    </row>
    <row r="80" spans="1:28" x14ac:dyDescent="0.25">
      <c r="A80" s="421"/>
      <c r="B80" s="399"/>
      <c r="C80" s="40" t="s">
        <v>132</v>
      </c>
      <c r="D80" s="42">
        <v>2.3450253463087245</v>
      </c>
      <c r="E80" s="43">
        <v>2.3308599999999999</v>
      </c>
      <c r="F80" s="43">
        <v>8.1984000000000015E-3</v>
      </c>
      <c r="G80" s="43">
        <v>5.966946308724832E-3</v>
      </c>
      <c r="Z80">
        <v>2020</v>
      </c>
      <c r="AA80" t="s">
        <v>217</v>
      </c>
      <c r="AB80">
        <v>378</v>
      </c>
    </row>
    <row r="81" spans="1:28" x14ac:dyDescent="0.25">
      <c r="A81" s="421"/>
      <c r="B81" s="399"/>
      <c r="C81" s="40" t="s">
        <v>133</v>
      </c>
      <c r="D81" s="42">
        <v>0.25443516107382552</v>
      </c>
      <c r="E81" s="43">
        <v>0.25289</v>
      </c>
      <c r="F81" s="43">
        <v>8.9600000000000009E-4</v>
      </c>
      <c r="G81" s="43">
        <v>6.4916107382550331E-4</v>
      </c>
      <c r="Z81">
        <v>2010</v>
      </c>
      <c r="AA81" t="s">
        <v>197</v>
      </c>
      <c r="AB81">
        <v>335</v>
      </c>
    </row>
    <row r="82" spans="1:28" x14ac:dyDescent="0.25">
      <c r="A82" s="421"/>
      <c r="B82" s="400"/>
      <c r="C82" s="40" t="s">
        <v>134</v>
      </c>
      <c r="D82" s="42">
        <v>0.24171479060402684</v>
      </c>
      <c r="E82" s="43">
        <v>0.24024999999999999</v>
      </c>
      <c r="F82" s="43">
        <v>8.5120000000000009E-4</v>
      </c>
      <c r="G82" s="43">
        <v>6.1359060402684559E-4</v>
      </c>
      <c r="Z82">
        <v>2020</v>
      </c>
      <c r="AA82" t="s">
        <v>219</v>
      </c>
      <c r="AB82">
        <v>389</v>
      </c>
    </row>
    <row r="83" spans="1:28" x14ac:dyDescent="0.25">
      <c r="A83" s="421"/>
      <c r="B83" s="398" t="s">
        <v>155</v>
      </c>
      <c r="C83" s="40" t="s">
        <v>131</v>
      </c>
      <c r="D83" s="42">
        <v>3228.8901865771813</v>
      </c>
      <c r="E83" s="47">
        <v>3216.38</v>
      </c>
      <c r="F83" s="47">
        <v>5.3872</v>
      </c>
      <c r="G83" s="47">
        <v>7.1229865771812078</v>
      </c>
      <c r="Z83">
        <v>2020</v>
      </c>
      <c r="AA83" t="s">
        <v>220</v>
      </c>
      <c r="AB83">
        <v>453</v>
      </c>
    </row>
    <row r="84" spans="1:28" x14ac:dyDescent="0.25">
      <c r="A84" s="421"/>
      <c r="B84" s="399"/>
      <c r="C84" s="40" t="s">
        <v>132</v>
      </c>
      <c r="D84" s="42">
        <v>3.1749249825503356</v>
      </c>
      <c r="E84" s="43">
        <v>3.16262</v>
      </c>
      <c r="F84" s="43">
        <v>5.2976000000000004E-3</v>
      </c>
      <c r="G84" s="43">
        <v>7.00738255033557E-3</v>
      </c>
      <c r="Z84">
        <v>2020</v>
      </c>
      <c r="AA84" t="s">
        <v>221</v>
      </c>
      <c r="AB84">
        <v>354</v>
      </c>
    </row>
    <row r="85" spans="1:28" x14ac:dyDescent="0.25">
      <c r="A85" s="421"/>
      <c r="B85" s="399"/>
      <c r="C85" s="40" t="s">
        <v>133</v>
      </c>
      <c r="D85" s="42">
        <v>0.28523177583892617</v>
      </c>
      <c r="E85" s="43">
        <v>0.28412999999999999</v>
      </c>
      <c r="F85" s="43">
        <v>4.7040000000000005E-4</v>
      </c>
      <c r="G85" s="43">
        <v>6.3137583892617451E-4</v>
      </c>
      <c r="Z85">
        <v>2020</v>
      </c>
      <c r="AA85" t="s">
        <v>222</v>
      </c>
      <c r="AB85">
        <v>623</v>
      </c>
    </row>
    <row r="86" spans="1:28" x14ac:dyDescent="0.25">
      <c r="A86" s="421"/>
      <c r="B86" s="400"/>
      <c r="C86" s="40" t="s">
        <v>134</v>
      </c>
      <c r="D86" s="42">
        <v>0.26813380536912751</v>
      </c>
      <c r="E86" s="43">
        <v>0.26708999999999999</v>
      </c>
      <c r="F86" s="43">
        <v>4.4800000000000005E-4</v>
      </c>
      <c r="G86" s="43">
        <v>5.9580536912751678E-4</v>
      </c>
      <c r="Z86">
        <v>2020</v>
      </c>
      <c r="AA86" t="s">
        <v>223</v>
      </c>
      <c r="AB86">
        <v>612</v>
      </c>
    </row>
    <row r="87" spans="1:28" x14ac:dyDescent="0.25">
      <c r="A87" s="421"/>
      <c r="B87" s="398" t="s">
        <v>156</v>
      </c>
      <c r="C87" s="40" t="s">
        <v>131</v>
      </c>
      <c r="D87" s="42">
        <v>3226.5785919463087</v>
      </c>
      <c r="E87" s="47">
        <v>3190</v>
      </c>
      <c r="F87" s="47">
        <v>3.6848000000000005</v>
      </c>
      <c r="G87" s="47">
        <v>32.893791946308724</v>
      </c>
      <c r="Z87">
        <v>2009</v>
      </c>
      <c r="AA87" t="s">
        <v>197</v>
      </c>
      <c r="AB87">
        <v>350</v>
      </c>
    </row>
    <row r="88" spans="1:28" x14ac:dyDescent="0.25">
      <c r="A88" s="421"/>
      <c r="B88" s="399"/>
      <c r="C88" s="40" t="s">
        <v>132</v>
      </c>
      <c r="D88" s="42">
        <v>2.7554089785234899</v>
      </c>
      <c r="E88" s="43">
        <v>2.72417</v>
      </c>
      <c r="F88" s="43">
        <v>3.1472000000000002E-3</v>
      </c>
      <c r="G88" s="43">
        <v>2.8091778523489933E-2</v>
      </c>
      <c r="Z88">
        <v>2008</v>
      </c>
      <c r="AA88" t="s">
        <v>197</v>
      </c>
      <c r="AB88">
        <v>363</v>
      </c>
    </row>
    <row r="89" spans="1:28" x14ac:dyDescent="0.25">
      <c r="A89" s="421"/>
      <c r="B89" s="399"/>
      <c r="C89" s="40" t="s">
        <v>133</v>
      </c>
      <c r="D89" s="42">
        <v>0.27287698926174503</v>
      </c>
      <c r="E89" s="43">
        <v>0.26978000000000002</v>
      </c>
      <c r="F89" s="43">
        <v>3.1359999999999998E-4</v>
      </c>
      <c r="G89" s="43">
        <v>2.7833892617449662E-3</v>
      </c>
      <c r="Z89">
        <v>2007</v>
      </c>
      <c r="AA89" t="s">
        <v>197</v>
      </c>
      <c r="AB89">
        <v>385</v>
      </c>
    </row>
    <row r="90" spans="1:28" x14ac:dyDescent="0.25">
      <c r="A90" s="421"/>
      <c r="B90" s="400"/>
      <c r="C90" s="40" t="s">
        <v>134</v>
      </c>
      <c r="D90" s="42">
        <v>0.25649562953020133</v>
      </c>
      <c r="E90" s="43">
        <v>0.25358999999999998</v>
      </c>
      <c r="F90" s="43">
        <v>2.9119999999999998E-4</v>
      </c>
      <c r="G90" s="43">
        <v>2.6144295302013422E-3</v>
      </c>
      <c r="Z90">
        <v>2019</v>
      </c>
      <c r="AA90" t="s">
        <v>199</v>
      </c>
      <c r="AB90">
        <v>68</v>
      </c>
    </row>
    <row r="91" spans="1:28" x14ac:dyDescent="0.25">
      <c r="A91" s="421"/>
      <c r="B91" s="398" t="s">
        <v>157</v>
      </c>
      <c r="C91" s="40" t="s">
        <v>131</v>
      </c>
      <c r="D91" s="42">
        <v>2944.3209275167787</v>
      </c>
      <c r="E91" s="47">
        <v>2933.33</v>
      </c>
      <c r="F91" s="47">
        <v>3.7968000000000006</v>
      </c>
      <c r="G91" s="47">
        <v>7.194127516778523</v>
      </c>
      <c r="Z91">
        <v>2019</v>
      </c>
      <c r="AA91" t="s">
        <v>200</v>
      </c>
      <c r="AB91">
        <v>85</v>
      </c>
    </row>
    <row r="92" spans="1:28" x14ac:dyDescent="0.25">
      <c r="A92" s="421"/>
      <c r="B92" s="399"/>
      <c r="C92" s="40" t="s">
        <v>132</v>
      </c>
      <c r="D92" s="60"/>
      <c r="E92" s="60"/>
      <c r="F92" s="60"/>
      <c r="G92" s="60"/>
      <c r="Z92">
        <v>2019</v>
      </c>
      <c r="AA92" t="s">
        <v>201</v>
      </c>
      <c r="AB92">
        <v>60</v>
      </c>
    </row>
    <row r="93" spans="1:28" x14ac:dyDescent="0.25">
      <c r="A93" s="421"/>
      <c r="B93" s="399"/>
      <c r="C93" s="40" t="s">
        <v>133</v>
      </c>
      <c r="D93" s="42">
        <v>0.25960737583892618</v>
      </c>
      <c r="E93" s="43">
        <v>0.25863999999999998</v>
      </c>
      <c r="F93" s="43">
        <v>3.3599999999999998E-4</v>
      </c>
      <c r="G93" s="43">
        <v>6.3137583892617451E-4</v>
      </c>
      <c r="Z93">
        <v>2019</v>
      </c>
      <c r="AA93" t="s">
        <v>202</v>
      </c>
      <c r="AB93">
        <v>150</v>
      </c>
    </row>
    <row r="94" spans="1:28" x14ac:dyDescent="0.25">
      <c r="A94" s="421"/>
      <c r="B94" s="400"/>
      <c r="C94" s="40" t="s">
        <v>134</v>
      </c>
      <c r="D94" s="42">
        <v>0.24662829798657718</v>
      </c>
      <c r="E94" s="43">
        <v>0.24571000000000001</v>
      </c>
      <c r="F94" s="43">
        <v>3.1359999999999998E-4</v>
      </c>
      <c r="G94" s="43">
        <v>6.0469798657718124E-4</v>
      </c>
      <c r="Z94">
        <v>2019</v>
      </c>
      <c r="AA94" t="s">
        <v>203</v>
      </c>
      <c r="AB94">
        <v>92</v>
      </c>
    </row>
    <row r="95" spans="1:28" x14ac:dyDescent="0.25">
      <c r="A95" s="421"/>
      <c r="B95" s="398" t="s">
        <v>158</v>
      </c>
      <c r="C95" s="40" t="s">
        <v>131</v>
      </c>
      <c r="D95" s="42">
        <v>3219.3791583892621</v>
      </c>
      <c r="E95" s="47">
        <v>3171.09</v>
      </c>
      <c r="F95" s="47">
        <v>3.5504000000000002</v>
      </c>
      <c r="G95" s="47">
        <v>44.738758389261747</v>
      </c>
      <c r="Z95">
        <v>2019</v>
      </c>
      <c r="AA95" t="s">
        <v>204</v>
      </c>
      <c r="AB95">
        <v>114</v>
      </c>
    </row>
    <row r="96" spans="1:28" x14ac:dyDescent="0.25">
      <c r="A96" s="421"/>
      <c r="B96" s="399" t="s">
        <v>158</v>
      </c>
      <c r="C96" s="40" t="s">
        <v>132</v>
      </c>
      <c r="D96" s="42">
        <v>2.7492366845637579</v>
      </c>
      <c r="E96" s="47">
        <v>2.7080099999999998</v>
      </c>
      <c r="F96" s="47">
        <v>3.0240000000000006E-3</v>
      </c>
      <c r="G96" s="47">
        <v>3.8202684563758388E-2</v>
      </c>
      <c r="Z96">
        <v>2019</v>
      </c>
      <c r="AA96" t="s">
        <v>205</v>
      </c>
      <c r="AB96">
        <v>120</v>
      </c>
    </row>
    <row r="97" spans="1:28" x14ac:dyDescent="0.25">
      <c r="A97" s="421"/>
      <c r="B97" s="399" t="s">
        <v>158</v>
      </c>
      <c r="C97" s="40" t="s">
        <v>133</v>
      </c>
      <c r="D97" s="42">
        <v>0.27458733288590603</v>
      </c>
      <c r="E97" s="43">
        <v>0.27046999999999999</v>
      </c>
      <c r="F97" s="43">
        <v>3.0240000000000003E-4</v>
      </c>
      <c r="G97" s="43">
        <v>3.8149328859060404E-3</v>
      </c>
      <c r="Z97">
        <v>2019</v>
      </c>
      <c r="AA97" t="s">
        <v>206</v>
      </c>
      <c r="AB97">
        <v>163</v>
      </c>
    </row>
    <row r="98" spans="1:28" x14ac:dyDescent="0.25">
      <c r="A98" s="421"/>
      <c r="B98" s="400" t="s">
        <v>158</v>
      </c>
      <c r="C98" s="40" t="s">
        <v>134</v>
      </c>
      <c r="D98" s="42">
        <v>0.25640593959731545</v>
      </c>
      <c r="E98" s="43">
        <v>0.25256000000000001</v>
      </c>
      <c r="F98" s="43">
        <v>2.8000000000000003E-4</v>
      </c>
      <c r="G98" s="43">
        <v>3.565939597315436E-3</v>
      </c>
      <c r="Z98">
        <v>2019</v>
      </c>
      <c r="AA98" t="s">
        <v>207</v>
      </c>
      <c r="AB98">
        <v>171</v>
      </c>
    </row>
    <row r="99" spans="1:28" x14ac:dyDescent="0.25">
      <c r="A99" s="421"/>
      <c r="B99" s="398" t="s">
        <v>159</v>
      </c>
      <c r="C99" s="40" t="s">
        <v>131</v>
      </c>
      <c r="D99" s="42">
        <v>3245.3044147651008</v>
      </c>
      <c r="E99" s="47">
        <v>3205.99</v>
      </c>
      <c r="F99" s="47">
        <v>0.90720000000000012</v>
      </c>
      <c r="G99" s="47">
        <v>38.407214765100669</v>
      </c>
      <c r="Z99">
        <v>2006</v>
      </c>
      <c r="AA99" t="s">
        <v>197</v>
      </c>
      <c r="AB99">
        <v>377</v>
      </c>
    </row>
    <row r="100" spans="1:28" x14ac:dyDescent="0.25">
      <c r="A100" s="421"/>
      <c r="B100" s="399"/>
      <c r="C100" s="40" t="s">
        <v>132</v>
      </c>
      <c r="D100" s="42">
        <v>2.7713887731543627</v>
      </c>
      <c r="E100" s="43">
        <v>2.7378200000000001</v>
      </c>
      <c r="F100" s="43">
        <v>7.7280000000000003E-4</v>
      </c>
      <c r="G100" s="43">
        <v>3.2795973154362418E-2</v>
      </c>
      <c r="Z100">
        <v>2019</v>
      </c>
      <c r="AA100" t="s">
        <v>209</v>
      </c>
      <c r="AB100">
        <v>72</v>
      </c>
    </row>
    <row r="101" spans="1:28" x14ac:dyDescent="0.25">
      <c r="A101" s="421"/>
      <c r="B101" s="399"/>
      <c r="C101" s="40" t="s">
        <v>133</v>
      </c>
      <c r="D101" s="42">
        <v>0.27445420536912746</v>
      </c>
      <c r="E101" s="43">
        <v>0.27112999999999998</v>
      </c>
      <c r="F101" s="43">
        <v>7.8399999999999995E-5</v>
      </c>
      <c r="G101" s="43">
        <v>3.2458053691275168E-3</v>
      </c>
      <c r="Z101">
        <v>2019</v>
      </c>
      <c r="AA101" t="s">
        <v>210</v>
      </c>
      <c r="AB101">
        <v>227</v>
      </c>
    </row>
    <row r="102" spans="1:28" x14ac:dyDescent="0.25">
      <c r="A102" s="421"/>
      <c r="B102" s="400"/>
      <c r="C102" s="40" t="s">
        <v>134</v>
      </c>
      <c r="D102" s="42">
        <v>0.25797736778523489</v>
      </c>
      <c r="E102" s="43">
        <v>0.25485999999999998</v>
      </c>
      <c r="F102" s="43">
        <v>6.7200000000000007E-5</v>
      </c>
      <c r="G102" s="43">
        <v>3.0501677852348991E-3</v>
      </c>
      <c r="Z102">
        <v>2019</v>
      </c>
      <c r="AA102" t="s">
        <v>211</v>
      </c>
      <c r="AB102">
        <v>214</v>
      </c>
    </row>
    <row r="103" spans="1:28" x14ac:dyDescent="0.25">
      <c r="A103" s="421"/>
      <c r="B103" s="398" t="s">
        <v>160</v>
      </c>
      <c r="C103" s="40" t="s">
        <v>131</v>
      </c>
      <c r="D103" s="42">
        <v>3154.7533395973151</v>
      </c>
      <c r="E103" s="47">
        <v>3113.99</v>
      </c>
      <c r="F103" s="47">
        <v>1.4224000000000001</v>
      </c>
      <c r="G103" s="47">
        <v>39.34093959731544</v>
      </c>
      <c r="Z103">
        <v>2019</v>
      </c>
      <c r="AA103" t="s">
        <v>212</v>
      </c>
      <c r="AB103">
        <v>238</v>
      </c>
    </row>
    <row r="104" spans="1:28" x14ac:dyDescent="0.25">
      <c r="A104" s="421"/>
      <c r="B104" s="399"/>
      <c r="C104" s="40" t="s">
        <v>132</v>
      </c>
      <c r="D104" s="42">
        <v>3.1020228859060399</v>
      </c>
      <c r="E104" s="43">
        <v>3.0619399999999999</v>
      </c>
      <c r="F104" s="43">
        <v>1.4000000000000002E-3</v>
      </c>
      <c r="G104" s="43">
        <v>3.8682885906040264E-2</v>
      </c>
      <c r="Z104">
        <v>2019</v>
      </c>
      <c r="AA104" t="s">
        <v>213</v>
      </c>
      <c r="AB104">
        <v>293</v>
      </c>
    </row>
    <row r="105" spans="1:28" x14ac:dyDescent="0.25">
      <c r="A105" s="421"/>
      <c r="B105" s="399"/>
      <c r="C105" s="40" t="s">
        <v>133</v>
      </c>
      <c r="D105" s="42">
        <v>0.2786902134228188</v>
      </c>
      <c r="E105" s="43">
        <v>0.27509</v>
      </c>
      <c r="F105" s="43">
        <v>1.2320000000000001E-4</v>
      </c>
      <c r="G105" s="43">
        <v>3.4770134228187923E-3</v>
      </c>
      <c r="Z105">
        <v>2019</v>
      </c>
      <c r="AA105" t="s">
        <v>214</v>
      </c>
      <c r="AB105">
        <v>234</v>
      </c>
    </row>
    <row r="106" spans="1:28" x14ac:dyDescent="0.25">
      <c r="A106" s="422"/>
      <c r="B106" s="400"/>
      <c r="C106" s="40" t="s">
        <v>134</v>
      </c>
      <c r="D106" s="42">
        <v>0.26196679060402683</v>
      </c>
      <c r="E106" s="43">
        <v>0.25857999999999998</v>
      </c>
      <c r="F106" s="43">
        <v>1.2320000000000001E-4</v>
      </c>
      <c r="G106" s="43">
        <v>3.2635906040268457E-3</v>
      </c>
      <c r="Z106">
        <v>2019</v>
      </c>
      <c r="AA106" t="s">
        <v>215</v>
      </c>
      <c r="AB106">
        <v>315</v>
      </c>
    </row>
    <row r="107" spans="1:28" x14ac:dyDescent="0.25">
      <c r="A107" s="45"/>
      <c r="B107" s="45"/>
      <c r="C107" s="45"/>
      <c r="D107" s="46"/>
      <c r="E107" s="46"/>
      <c r="F107" s="46"/>
      <c r="G107" s="46"/>
      <c r="Z107">
        <v>2019</v>
      </c>
      <c r="AA107" t="s">
        <v>216</v>
      </c>
      <c r="AB107">
        <v>386</v>
      </c>
    </row>
    <row r="108" spans="1:28" x14ac:dyDescent="0.25">
      <c r="A108" s="45"/>
      <c r="B108" s="45"/>
      <c r="C108" s="45"/>
      <c r="D108" s="46"/>
      <c r="E108" s="46"/>
      <c r="F108" s="46"/>
      <c r="G108" s="46"/>
      <c r="Z108">
        <v>2019</v>
      </c>
      <c r="AA108" t="s">
        <v>217</v>
      </c>
      <c r="AB108">
        <v>359</v>
      </c>
    </row>
    <row r="109" spans="1:28" x14ac:dyDescent="0.25">
      <c r="A109" s="45"/>
      <c r="B109" s="45"/>
      <c r="C109" s="45"/>
      <c r="D109" s="46"/>
      <c r="E109" s="46"/>
      <c r="F109" s="46"/>
      <c r="G109" s="46"/>
      <c r="Z109">
        <v>2005</v>
      </c>
      <c r="AA109" t="s">
        <v>197</v>
      </c>
      <c r="AB109">
        <v>379</v>
      </c>
    </row>
    <row r="110" spans="1:28" ht="18" x14ac:dyDescent="0.35">
      <c r="A110" s="39" t="s">
        <v>123</v>
      </c>
      <c r="B110" s="39" t="s">
        <v>82</v>
      </c>
      <c r="C110" s="39" t="s">
        <v>124</v>
      </c>
      <c r="D110" s="40" t="s">
        <v>125</v>
      </c>
      <c r="E110" s="40" t="s">
        <v>126</v>
      </c>
      <c r="F110" s="41" t="s">
        <v>127</v>
      </c>
      <c r="G110" s="41" t="s">
        <v>128</v>
      </c>
      <c r="Z110">
        <v>2019</v>
      </c>
      <c r="AA110" t="s">
        <v>219</v>
      </c>
      <c r="AB110">
        <v>430</v>
      </c>
    </row>
    <row r="111" spans="1:28" x14ac:dyDescent="0.25">
      <c r="A111" s="420" t="s">
        <v>161</v>
      </c>
      <c r="B111" s="423" t="s">
        <v>162</v>
      </c>
      <c r="C111" s="40" t="s">
        <v>131</v>
      </c>
      <c r="D111" s="42">
        <v>2396.4799436241606</v>
      </c>
      <c r="E111" s="47">
        <v>2371.91</v>
      </c>
      <c r="F111" s="47">
        <v>7.6384000000000007</v>
      </c>
      <c r="G111" s="47">
        <v>16.931543624161073</v>
      </c>
      <c r="Z111">
        <v>2019</v>
      </c>
      <c r="AA111" t="s">
        <v>220</v>
      </c>
      <c r="AB111">
        <v>606</v>
      </c>
    </row>
    <row r="112" spans="1:28" x14ac:dyDescent="0.25">
      <c r="A112" s="421"/>
      <c r="B112" s="424"/>
      <c r="C112" s="40" t="s">
        <v>133</v>
      </c>
      <c r="D112" s="42">
        <v>0.33959740671140942</v>
      </c>
      <c r="E112" s="43">
        <v>0.33611000000000002</v>
      </c>
      <c r="F112" s="43">
        <v>1.0864000000000002E-3</v>
      </c>
      <c r="G112" s="43">
        <v>2.401006711409396E-3</v>
      </c>
      <c r="Z112">
        <v>2019</v>
      </c>
      <c r="AA112" t="s">
        <v>221</v>
      </c>
      <c r="AB112">
        <v>426</v>
      </c>
    </row>
    <row r="113" spans="1:28" x14ac:dyDescent="0.25">
      <c r="A113" s="421"/>
      <c r="B113" s="425"/>
      <c r="C113" s="40" t="s">
        <v>134</v>
      </c>
      <c r="D113" s="42">
        <v>0.32261691006711407</v>
      </c>
      <c r="E113" s="43">
        <v>0.31930999999999998</v>
      </c>
      <c r="F113" s="43">
        <v>1.0304000000000001E-3</v>
      </c>
      <c r="G113" s="43">
        <v>2.276510067114094E-3</v>
      </c>
      <c r="Z113">
        <v>2019</v>
      </c>
      <c r="AA113" t="s">
        <v>222</v>
      </c>
      <c r="AB113">
        <v>642</v>
      </c>
    </row>
    <row r="114" spans="1:28" x14ac:dyDescent="0.25">
      <c r="A114" s="421"/>
      <c r="B114" s="423" t="s">
        <v>163</v>
      </c>
      <c r="C114" s="40" t="s">
        <v>131</v>
      </c>
      <c r="D114" s="42">
        <v>2199.3344832214766</v>
      </c>
      <c r="E114" s="47">
        <v>2187.44</v>
      </c>
      <c r="F114" s="47">
        <v>0.67200000000000004</v>
      </c>
      <c r="G114" s="47">
        <v>11.222483221476509</v>
      </c>
      <c r="Z114">
        <v>2019</v>
      </c>
      <c r="AA114" t="s">
        <v>223</v>
      </c>
      <c r="AB114">
        <v>730</v>
      </c>
    </row>
    <row r="115" spans="1:28" x14ac:dyDescent="0.25">
      <c r="A115" s="421"/>
      <c r="B115" s="424"/>
      <c r="C115" s="40" t="s">
        <v>133</v>
      </c>
      <c r="D115" s="42">
        <v>0.33407150469798658</v>
      </c>
      <c r="E115" s="43">
        <v>0.33228999999999997</v>
      </c>
      <c r="F115" s="43">
        <v>1.0080000000000001E-4</v>
      </c>
      <c r="G115" s="43">
        <v>1.6807046979865771E-3</v>
      </c>
      <c r="Z115">
        <v>2004</v>
      </c>
      <c r="AA115" t="s">
        <v>197</v>
      </c>
      <c r="AB115">
        <v>380</v>
      </c>
    </row>
    <row r="116" spans="1:28" x14ac:dyDescent="0.25">
      <c r="A116" s="421"/>
      <c r="B116" s="425"/>
      <c r="C116" s="40" t="s">
        <v>134</v>
      </c>
      <c r="D116" s="42">
        <v>0.31737257852348993</v>
      </c>
      <c r="E116" s="43">
        <v>0.31568000000000002</v>
      </c>
      <c r="F116" s="43">
        <v>1.0080000000000001E-4</v>
      </c>
      <c r="G116" s="43">
        <v>1.5917785234899329E-3</v>
      </c>
      <c r="Z116">
        <v>2003</v>
      </c>
      <c r="AA116" t="s">
        <v>197</v>
      </c>
      <c r="AB116">
        <v>391</v>
      </c>
    </row>
    <row r="117" spans="1:28" x14ac:dyDescent="0.25">
      <c r="A117" s="421"/>
      <c r="B117" s="423" t="s">
        <v>164</v>
      </c>
      <c r="C117" s="40" t="s">
        <v>131</v>
      </c>
      <c r="D117" s="42">
        <v>2904.9523355704696</v>
      </c>
      <c r="E117" s="47">
        <v>2632</v>
      </c>
      <c r="F117" s="47">
        <v>240.352</v>
      </c>
      <c r="G117" s="47">
        <v>32.600335570469795</v>
      </c>
      <c r="Z117">
        <v>2002</v>
      </c>
      <c r="AA117" t="s">
        <v>197</v>
      </c>
      <c r="AB117">
        <v>394</v>
      </c>
    </row>
    <row r="118" spans="1:28" x14ac:dyDescent="0.25">
      <c r="A118" s="421"/>
      <c r="B118" s="424"/>
      <c r="C118" s="40" t="s">
        <v>133</v>
      </c>
      <c r="D118" s="42">
        <v>0.36548949664429531</v>
      </c>
      <c r="E118" s="43">
        <v>0.33115</v>
      </c>
      <c r="F118" s="43">
        <v>3.0240000000000003E-2</v>
      </c>
      <c r="G118" s="43">
        <v>4.0994966442953022E-3</v>
      </c>
      <c r="Z118">
        <v>2018</v>
      </c>
      <c r="AA118" t="s">
        <v>199</v>
      </c>
      <c r="AB118">
        <v>65</v>
      </c>
    </row>
    <row r="119" spans="1:28" x14ac:dyDescent="0.25">
      <c r="A119" s="421"/>
      <c r="B119" s="425"/>
      <c r="C119" s="40" t="s">
        <v>134</v>
      </c>
      <c r="D119" s="42">
        <v>0.34721296644295302</v>
      </c>
      <c r="E119" s="43">
        <v>0.31458999999999998</v>
      </c>
      <c r="F119" s="43">
        <v>2.8728000000000004E-2</v>
      </c>
      <c r="G119" s="43">
        <v>3.8949664429530203E-3</v>
      </c>
      <c r="Z119">
        <v>2018</v>
      </c>
      <c r="AA119" t="s">
        <v>200</v>
      </c>
      <c r="AB119">
        <v>109</v>
      </c>
    </row>
    <row r="120" spans="1:28" x14ac:dyDescent="0.25">
      <c r="A120" s="421"/>
      <c r="B120" s="423" t="s">
        <v>165</v>
      </c>
      <c r="C120" s="40" t="s">
        <v>131</v>
      </c>
      <c r="D120" s="42">
        <v>3164.6500187919464</v>
      </c>
      <c r="E120" s="47">
        <v>3144.16</v>
      </c>
      <c r="F120" s="47">
        <v>8.4672000000000001</v>
      </c>
      <c r="G120" s="47">
        <v>12.022818791946309</v>
      </c>
      <c r="Z120">
        <v>2018</v>
      </c>
      <c r="AA120" t="s">
        <v>201</v>
      </c>
      <c r="AB120">
        <v>59</v>
      </c>
    </row>
    <row r="121" spans="1:28" x14ac:dyDescent="0.25">
      <c r="A121" s="421"/>
      <c r="B121" s="424"/>
      <c r="C121" s="40" t="s">
        <v>133</v>
      </c>
      <c r="D121" s="42">
        <v>0.37674971140939595</v>
      </c>
      <c r="E121" s="43">
        <v>0.37430999999999998</v>
      </c>
      <c r="F121" s="43">
        <v>1.008E-3</v>
      </c>
      <c r="G121" s="43">
        <v>1.4317114093959733E-3</v>
      </c>
      <c r="Z121">
        <v>2018</v>
      </c>
      <c r="AA121" t="s">
        <v>202</v>
      </c>
      <c r="AB121">
        <v>138</v>
      </c>
    </row>
    <row r="122" spans="1:28" x14ac:dyDescent="0.25">
      <c r="A122" s="421"/>
      <c r="B122" s="425"/>
      <c r="C122" s="40" t="s">
        <v>134</v>
      </c>
      <c r="D122" s="42">
        <v>0.35790257046979868</v>
      </c>
      <c r="E122" s="43">
        <v>0.35559000000000002</v>
      </c>
      <c r="F122" s="43">
        <v>9.5200000000000005E-4</v>
      </c>
      <c r="G122" s="43">
        <v>1.3605704697986576E-3</v>
      </c>
      <c r="Z122">
        <v>2018</v>
      </c>
      <c r="AA122" t="s">
        <v>203</v>
      </c>
      <c r="AB122">
        <v>100</v>
      </c>
    </row>
    <row r="123" spans="1:28" x14ac:dyDescent="0.25">
      <c r="A123" s="421"/>
      <c r="B123" s="423" t="s">
        <v>166</v>
      </c>
      <c r="C123" s="40" t="s">
        <v>131</v>
      </c>
      <c r="D123" s="42">
        <v>3386.5716751677851</v>
      </c>
      <c r="E123" s="47">
        <v>3377.05</v>
      </c>
      <c r="F123" s="47">
        <v>3.8304000000000005</v>
      </c>
      <c r="G123" s="47">
        <v>5.6912751677852356</v>
      </c>
      <c r="Z123">
        <v>2018</v>
      </c>
      <c r="AA123" t="s">
        <v>204</v>
      </c>
      <c r="AB123">
        <v>187</v>
      </c>
    </row>
    <row r="124" spans="1:28" x14ac:dyDescent="0.25">
      <c r="A124" s="421"/>
      <c r="B124" s="424"/>
      <c r="C124" s="40" t="s">
        <v>133</v>
      </c>
      <c r="D124" s="42">
        <v>0.3588678979865772</v>
      </c>
      <c r="E124" s="43">
        <v>0.35786000000000001</v>
      </c>
      <c r="F124" s="43">
        <v>4.0320000000000004E-4</v>
      </c>
      <c r="G124" s="43">
        <v>6.0469798657718124E-4</v>
      </c>
      <c r="Z124">
        <v>2018</v>
      </c>
      <c r="AA124" t="s">
        <v>205</v>
      </c>
      <c r="AB124">
        <v>135</v>
      </c>
    </row>
    <row r="125" spans="1:28" x14ac:dyDescent="0.25">
      <c r="A125" s="421"/>
      <c r="B125" s="425"/>
      <c r="C125" s="40" t="s">
        <v>134</v>
      </c>
      <c r="D125" s="42">
        <v>0.34091992751677852</v>
      </c>
      <c r="E125" s="43">
        <v>0.33996999999999999</v>
      </c>
      <c r="F125" s="43">
        <v>3.8080000000000004E-4</v>
      </c>
      <c r="G125" s="43">
        <v>5.6912751677852351E-4</v>
      </c>
      <c r="Z125">
        <v>2018</v>
      </c>
      <c r="AA125" t="s">
        <v>206</v>
      </c>
      <c r="AB125">
        <v>130</v>
      </c>
    </row>
    <row r="126" spans="1:28" x14ac:dyDescent="0.25">
      <c r="A126" s="421"/>
      <c r="B126" s="423" t="s">
        <v>167</v>
      </c>
      <c r="C126" s="40" t="s">
        <v>131</v>
      </c>
      <c r="D126" s="42">
        <v>2195.8966979865772</v>
      </c>
      <c r="E126" s="47">
        <v>2184.02</v>
      </c>
      <c r="F126" s="47">
        <v>0.67200000000000004</v>
      </c>
      <c r="G126" s="47">
        <v>11.20469798657718</v>
      </c>
      <c r="Z126">
        <v>2018</v>
      </c>
      <c r="AA126" t="s">
        <v>207</v>
      </c>
      <c r="AB126">
        <v>199</v>
      </c>
    </row>
    <row r="127" spans="1:28" x14ac:dyDescent="0.25">
      <c r="A127" s="421"/>
      <c r="B127" s="424"/>
      <c r="C127" s="40" t="s">
        <v>133</v>
      </c>
      <c r="D127" s="42">
        <v>0.33407150469798658</v>
      </c>
      <c r="E127" s="43">
        <v>0.33228999999999997</v>
      </c>
      <c r="F127" s="43">
        <v>1.0080000000000001E-4</v>
      </c>
      <c r="G127" s="43">
        <v>1.6807046979865771E-3</v>
      </c>
      <c r="Z127">
        <v>2001</v>
      </c>
      <c r="AA127" t="s">
        <v>197</v>
      </c>
      <c r="AB127">
        <v>388</v>
      </c>
    </row>
    <row r="128" spans="1:28" x14ac:dyDescent="0.25">
      <c r="A128" s="422"/>
      <c r="B128" s="425"/>
      <c r="C128" s="40" t="s">
        <v>134</v>
      </c>
      <c r="D128" s="42">
        <v>0.31737257852348993</v>
      </c>
      <c r="E128" s="43">
        <v>0.31568000000000002</v>
      </c>
      <c r="F128" s="43">
        <v>1.0080000000000001E-4</v>
      </c>
      <c r="G128" s="43">
        <v>1.5917785234899329E-3</v>
      </c>
      <c r="Z128">
        <v>2018</v>
      </c>
      <c r="AA128" t="s">
        <v>209</v>
      </c>
      <c r="AB128">
        <v>54</v>
      </c>
    </row>
    <row r="129" spans="1:28" x14ac:dyDescent="0.25">
      <c r="Z129">
        <v>2018</v>
      </c>
      <c r="AA129" t="s">
        <v>210</v>
      </c>
      <c r="AB129">
        <v>250</v>
      </c>
    </row>
    <row r="130" spans="1:28" x14ac:dyDescent="0.25">
      <c r="Z130">
        <v>2018</v>
      </c>
      <c r="AA130" t="s">
        <v>211</v>
      </c>
      <c r="AB130">
        <v>276</v>
      </c>
    </row>
    <row r="131" spans="1:28" x14ac:dyDescent="0.25">
      <c r="Z131">
        <v>2018</v>
      </c>
      <c r="AA131" t="s">
        <v>212</v>
      </c>
      <c r="AB131">
        <v>246</v>
      </c>
    </row>
    <row r="132" spans="1:28" x14ac:dyDescent="0.25">
      <c r="Z132">
        <v>2018</v>
      </c>
      <c r="AA132" t="s">
        <v>213</v>
      </c>
      <c r="AB132">
        <v>319</v>
      </c>
    </row>
    <row r="133" spans="1:28" x14ac:dyDescent="0.25">
      <c r="Z133">
        <v>2018</v>
      </c>
      <c r="AA133" t="s">
        <v>214</v>
      </c>
      <c r="AB133">
        <v>249</v>
      </c>
    </row>
    <row r="134" spans="1:28" x14ac:dyDescent="0.25">
      <c r="Z134">
        <v>2018</v>
      </c>
      <c r="AA134" t="s">
        <v>215</v>
      </c>
      <c r="AB134">
        <v>352</v>
      </c>
    </row>
    <row r="135" spans="1:28" x14ac:dyDescent="0.25">
      <c r="Z135">
        <v>2018</v>
      </c>
      <c r="AA135" t="s">
        <v>216</v>
      </c>
      <c r="AB135">
        <v>436</v>
      </c>
    </row>
    <row r="136" spans="1:28" ht="15.75" thickBot="1" x14ac:dyDescent="0.3">
      <c r="Z136">
        <v>2018</v>
      </c>
      <c r="AA136" t="s">
        <v>217</v>
      </c>
      <c r="AB136">
        <v>356</v>
      </c>
    </row>
    <row r="137" spans="1:28" ht="30.75" thickTop="1" x14ac:dyDescent="0.25">
      <c r="A137" s="75"/>
      <c r="B137" s="412"/>
      <c r="C137" s="165" t="s">
        <v>191</v>
      </c>
      <c r="D137" s="165" t="s">
        <v>604</v>
      </c>
      <c r="E137" s="166" t="s">
        <v>605</v>
      </c>
      <c r="F137" s="165" t="s">
        <v>606</v>
      </c>
      <c r="G137" s="165" t="s">
        <v>607</v>
      </c>
      <c r="H137" s="165" t="s">
        <v>604</v>
      </c>
      <c r="I137" s="165" t="s">
        <v>605</v>
      </c>
      <c r="J137" s="165" t="s">
        <v>604</v>
      </c>
      <c r="K137" s="165" t="s">
        <v>605</v>
      </c>
      <c r="Z137">
        <v>2000</v>
      </c>
      <c r="AA137" t="s">
        <v>197</v>
      </c>
      <c r="AB137">
        <v>394</v>
      </c>
    </row>
    <row r="138" spans="1:28" ht="30.75" thickBot="1" x14ac:dyDescent="0.3">
      <c r="A138" s="75"/>
      <c r="B138" s="412"/>
      <c r="C138" s="167"/>
      <c r="D138" s="168" t="s">
        <v>608</v>
      </c>
      <c r="E138" s="169" t="s">
        <v>608</v>
      </c>
      <c r="F138" s="170" t="s">
        <v>609</v>
      </c>
      <c r="G138" s="170" t="s">
        <v>610</v>
      </c>
      <c r="H138" s="168" t="s">
        <v>611</v>
      </c>
      <c r="I138" s="168" t="s">
        <v>611</v>
      </c>
      <c r="J138" s="168" t="s">
        <v>612</v>
      </c>
      <c r="K138" s="168" t="s">
        <v>612</v>
      </c>
      <c r="Z138">
        <v>2018</v>
      </c>
      <c r="AA138" t="s">
        <v>219</v>
      </c>
      <c r="AB138">
        <v>463</v>
      </c>
    </row>
    <row r="139" spans="1:28" ht="16.5" thickTop="1" thickBot="1" x14ac:dyDescent="0.3">
      <c r="A139" s="413" t="s">
        <v>613</v>
      </c>
      <c r="B139" s="165" t="s">
        <v>614</v>
      </c>
      <c r="C139" s="171">
        <v>2023</v>
      </c>
      <c r="D139" s="172">
        <v>44.481000000000002</v>
      </c>
      <c r="E139" s="172">
        <v>46.822000000000003</v>
      </c>
      <c r="F139" s="172">
        <v>755.28700000000003</v>
      </c>
      <c r="G139" s="172">
        <v>1324</v>
      </c>
      <c r="H139" s="172">
        <v>12.356</v>
      </c>
      <c r="I139" s="172">
        <v>13.006</v>
      </c>
      <c r="J139" s="172">
        <v>9.3320000000000007</v>
      </c>
      <c r="K139" s="172">
        <v>9.8230000000000004</v>
      </c>
      <c r="Z139">
        <v>2018</v>
      </c>
      <c r="AA139" t="s">
        <v>220</v>
      </c>
      <c r="AB139">
        <v>654</v>
      </c>
    </row>
    <row r="140" spans="1:28" ht="16.5" thickTop="1" thickBot="1" x14ac:dyDescent="0.3">
      <c r="A140" s="414"/>
      <c r="B140" s="165" t="s">
        <v>615</v>
      </c>
      <c r="C140" s="173">
        <v>2023</v>
      </c>
      <c r="D140" s="174">
        <v>43.926000000000002</v>
      </c>
      <c r="E140" s="174">
        <v>46.238</v>
      </c>
      <c r="F140" s="174">
        <v>798.08500000000004</v>
      </c>
      <c r="G140" s="174">
        <v>1253</v>
      </c>
      <c r="H140" s="174">
        <v>12.202</v>
      </c>
      <c r="I140" s="174">
        <v>12.843999999999999</v>
      </c>
      <c r="J140" s="174">
        <v>9.7379999999999995</v>
      </c>
      <c r="K140" s="174">
        <v>10.25</v>
      </c>
      <c r="Z140">
        <v>2018</v>
      </c>
      <c r="AA140" t="s">
        <v>221</v>
      </c>
      <c r="AB140">
        <v>426</v>
      </c>
    </row>
    <row r="141" spans="1:28" ht="16.5" thickTop="1" thickBot="1" x14ac:dyDescent="0.3">
      <c r="A141" s="414"/>
      <c r="B141" s="165" t="s">
        <v>616</v>
      </c>
      <c r="C141" s="173">
        <v>2023</v>
      </c>
      <c r="D141" s="174">
        <v>43.862000000000002</v>
      </c>
      <c r="E141" s="174">
        <v>46.17</v>
      </c>
      <c r="F141" s="174">
        <v>803.21299999999997</v>
      </c>
      <c r="G141" s="174">
        <v>1245</v>
      </c>
      <c r="H141" s="174">
        <v>12.183999999999999</v>
      </c>
      <c r="I141" s="174">
        <v>12.824999999999999</v>
      </c>
      <c r="J141" s="174">
        <v>9.7859999999999996</v>
      </c>
      <c r="K141" s="174">
        <v>10.301</v>
      </c>
      <c r="Z141">
        <v>2018</v>
      </c>
      <c r="AA141" t="s">
        <v>222</v>
      </c>
      <c r="AB141">
        <v>664</v>
      </c>
    </row>
    <row r="142" spans="1:28" ht="16.5" thickTop="1" thickBot="1" x14ac:dyDescent="0.3">
      <c r="A142" s="414"/>
      <c r="B142" s="165" t="s">
        <v>130</v>
      </c>
      <c r="C142" s="173">
        <v>2023</v>
      </c>
      <c r="D142" s="174">
        <v>45.3</v>
      </c>
      <c r="E142" s="174">
        <v>49.1</v>
      </c>
      <c r="F142" s="174">
        <v>574.053</v>
      </c>
      <c r="G142" s="174">
        <v>1742</v>
      </c>
      <c r="H142" s="174">
        <v>12.583</v>
      </c>
      <c r="I142" s="174">
        <v>13.638999999999999</v>
      </c>
      <c r="J142" s="174">
        <v>7.2229999999999999</v>
      </c>
      <c r="K142" s="174">
        <v>7.8289999999999997</v>
      </c>
      <c r="Z142">
        <v>2018</v>
      </c>
      <c r="AA142" t="s">
        <v>223</v>
      </c>
      <c r="AB142">
        <v>883</v>
      </c>
    </row>
    <row r="143" spans="1:28" ht="16.5" thickTop="1" thickBot="1" x14ac:dyDescent="0.3">
      <c r="A143" s="414"/>
      <c r="B143" s="165" t="s">
        <v>164</v>
      </c>
      <c r="C143" s="173">
        <v>2023</v>
      </c>
      <c r="D143" s="174">
        <v>28.613</v>
      </c>
      <c r="E143" s="174">
        <v>30.119</v>
      </c>
      <c r="F143" s="174">
        <v>850</v>
      </c>
      <c r="G143" s="174">
        <v>1176.471</v>
      </c>
      <c r="H143" s="174">
        <v>7.9480000000000004</v>
      </c>
      <c r="I143" s="174">
        <v>8.3659999999999997</v>
      </c>
      <c r="J143" s="174">
        <v>6.7560000000000002</v>
      </c>
      <c r="K143" s="174">
        <v>7.1109999999999998</v>
      </c>
      <c r="Z143">
        <v>1999</v>
      </c>
      <c r="AA143" t="s">
        <v>197</v>
      </c>
      <c r="AB143">
        <v>410</v>
      </c>
    </row>
    <row r="144" spans="1:28" ht="16.5" thickTop="1" thickBot="1" x14ac:dyDescent="0.3">
      <c r="A144" s="414"/>
      <c r="B144" s="165" t="s">
        <v>163</v>
      </c>
      <c r="C144" s="173">
        <v>2023</v>
      </c>
      <c r="D144" s="174">
        <v>23.698</v>
      </c>
      <c r="E144" s="174">
        <v>24.946000000000002</v>
      </c>
      <c r="F144" s="175"/>
      <c r="G144" s="175"/>
      <c r="H144" s="174">
        <v>6.5830000000000002</v>
      </c>
      <c r="I144" s="174">
        <v>6.9290000000000003</v>
      </c>
      <c r="J144" s="175"/>
      <c r="K144" s="176"/>
      <c r="Z144">
        <v>1998</v>
      </c>
      <c r="AA144" t="s">
        <v>197</v>
      </c>
      <c r="AB144">
        <v>420</v>
      </c>
    </row>
    <row r="145" spans="1:28" ht="16.5" thickTop="1" thickBot="1" x14ac:dyDescent="0.3">
      <c r="A145" s="414"/>
      <c r="B145" s="165" t="s">
        <v>167</v>
      </c>
      <c r="C145" s="173">
        <v>2023</v>
      </c>
      <c r="D145" s="174">
        <v>23.661000000000001</v>
      </c>
      <c r="E145" s="174">
        <v>24.907</v>
      </c>
      <c r="F145" s="175"/>
      <c r="G145" s="175"/>
      <c r="H145" s="174">
        <v>6.5730000000000004</v>
      </c>
      <c r="I145" s="174">
        <v>6.9189999999999996</v>
      </c>
      <c r="J145" s="175"/>
      <c r="K145" s="176"/>
      <c r="Z145">
        <v>1997</v>
      </c>
      <c r="AA145" t="s">
        <v>197</v>
      </c>
      <c r="AB145">
        <v>419</v>
      </c>
    </row>
    <row r="146" spans="1:28" ht="16.5" thickTop="1" thickBot="1" x14ac:dyDescent="0.3">
      <c r="A146" s="414"/>
      <c r="B146" s="165" t="s">
        <v>162</v>
      </c>
      <c r="C146" s="173">
        <v>2023</v>
      </c>
      <c r="D146" s="174">
        <v>25.405000000000001</v>
      </c>
      <c r="E146" s="174">
        <v>26.742000000000001</v>
      </c>
      <c r="F146" s="175"/>
      <c r="G146" s="175"/>
      <c r="H146" s="174">
        <v>7.0570000000000004</v>
      </c>
      <c r="I146" s="174">
        <v>7.4279999999999999</v>
      </c>
      <c r="J146" s="175"/>
      <c r="K146" s="176"/>
      <c r="Z146">
        <v>2017</v>
      </c>
      <c r="AA146" t="s">
        <v>199</v>
      </c>
      <c r="AB146">
        <v>65</v>
      </c>
    </row>
    <row r="147" spans="1:28" ht="16.5" thickTop="1" thickBot="1" x14ac:dyDescent="0.3">
      <c r="A147" s="414"/>
      <c r="B147" s="165" t="s">
        <v>617</v>
      </c>
      <c r="C147" s="173">
        <v>2023</v>
      </c>
      <c r="D147" s="174">
        <v>30.24</v>
      </c>
      <c r="E147" s="174">
        <v>31.832000000000001</v>
      </c>
      <c r="F147" s="175"/>
      <c r="G147" s="175"/>
      <c r="H147" s="174">
        <v>8.4</v>
      </c>
      <c r="I147" s="174">
        <v>8.8420000000000005</v>
      </c>
      <c r="J147" s="175"/>
      <c r="K147" s="176"/>
      <c r="Z147">
        <v>2017</v>
      </c>
      <c r="AA147" t="s">
        <v>200</v>
      </c>
      <c r="AB147">
        <v>93</v>
      </c>
    </row>
    <row r="148" spans="1:28" ht="16.5" thickTop="1" thickBot="1" x14ac:dyDescent="0.3">
      <c r="A148" s="414"/>
      <c r="B148" s="165" t="s">
        <v>148</v>
      </c>
      <c r="C148" s="173">
        <v>2023</v>
      </c>
      <c r="D148" s="174">
        <v>43.037999999999997</v>
      </c>
      <c r="E148" s="174">
        <v>45.784999999999997</v>
      </c>
      <c r="F148" s="174">
        <v>829.87599999999998</v>
      </c>
      <c r="G148" s="174">
        <v>1205</v>
      </c>
      <c r="H148" s="174">
        <v>11.955</v>
      </c>
      <c r="I148" s="174">
        <v>12.718</v>
      </c>
      <c r="J148" s="174">
        <v>9.9209999999999994</v>
      </c>
      <c r="K148" s="174">
        <v>10.554</v>
      </c>
      <c r="Z148">
        <v>2017</v>
      </c>
      <c r="AA148" t="s">
        <v>201</v>
      </c>
      <c r="AB148">
        <v>73</v>
      </c>
    </row>
    <row r="149" spans="1:28" ht="16.5" thickTop="1" thickBot="1" x14ac:dyDescent="0.3">
      <c r="A149" s="414"/>
      <c r="B149" s="165" t="s">
        <v>147</v>
      </c>
      <c r="C149" s="173">
        <v>2023</v>
      </c>
      <c r="D149" s="174">
        <v>42.73</v>
      </c>
      <c r="E149" s="174">
        <v>45.411999999999999</v>
      </c>
      <c r="F149" s="174">
        <v>832.83600000000001</v>
      </c>
      <c r="G149" s="174">
        <v>1200.7159999999999</v>
      </c>
      <c r="H149" s="174">
        <v>11.87</v>
      </c>
      <c r="I149" s="174">
        <v>12.614000000000001</v>
      </c>
      <c r="J149" s="174">
        <v>9.8849999999999998</v>
      </c>
      <c r="K149" s="174">
        <v>10.506</v>
      </c>
      <c r="Z149">
        <v>2017</v>
      </c>
      <c r="AA149" t="s">
        <v>202</v>
      </c>
      <c r="AB149">
        <v>65</v>
      </c>
    </row>
    <row r="150" spans="1:28" ht="16.5" thickTop="1" thickBot="1" x14ac:dyDescent="0.3">
      <c r="A150" s="414"/>
      <c r="B150" s="165" t="s">
        <v>118</v>
      </c>
      <c r="C150" s="173">
        <v>2023</v>
      </c>
      <c r="D150" s="174">
        <v>40.911000000000001</v>
      </c>
      <c r="E150" s="174">
        <v>43.521999999999998</v>
      </c>
      <c r="F150" s="174">
        <v>972.76300000000003</v>
      </c>
      <c r="G150" s="174">
        <v>1028</v>
      </c>
      <c r="H150" s="174">
        <v>11.364000000000001</v>
      </c>
      <c r="I150" s="174">
        <v>12.09</v>
      </c>
      <c r="J150" s="174">
        <v>11.055</v>
      </c>
      <c r="K150" s="174">
        <v>11.76</v>
      </c>
      <c r="Z150">
        <v>2017</v>
      </c>
      <c r="AA150" t="s">
        <v>203</v>
      </c>
      <c r="AB150">
        <v>103</v>
      </c>
    </row>
    <row r="151" spans="1:28" ht="16.5" thickTop="1" thickBot="1" x14ac:dyDescent="0.3">
      <c r="A151" s="414"/>
      <c r="B151" s="165" t="s">
        <v>116</v>
      </c>
      <c r="C151" s="173">
        <v>2023</v>
      </c>
      <c r="D151" s="174">
        <v>42.569000000000003</v>
      </c>
      <c r="E151" s="174">
        <v>45.286000000000001</v>
      </c>
      <c r="F151" s="174">
        <v>842.46</v>
      </c>
      <c r="G151" s="174">
        <v>1187</v>
      </c>
      <c r="H151" s="174">
        <v>11.824999999999999</v>
      </c>
      <c r="I151" s="174">
        <v>12.579000000000001</v>
      </c>
      <c r="J151" s="174">
        <v>9.9619999999999997</v>
      </c>
      <c r="K151" s="174">
        <v>10.598000000000001</v>
      </c>
      <c r="Z151">
        <v>2017</v>
      </c>
      <c r="AA151" t="s">
        <v>204</v>
      </c>
      <c r="AB151">
        <v>174</v>
      </c>
    </row>
    <row r="152" spans="1:28" ht="16.5" thickTop="1" thickBot="1" x14ac:dyDescent="0.3">
      <c r="A152" s="414"/>
      <c r="B152" s="165" t="s">
        <v>151</v>
      </c>
      <c r="C152" s="173">
        <v>2023</v>
      </c>
      <c r="D152" s="174">
        <v>40.911000000000001</v>
      </c>
      <c r="E152" s="174">
        <v>43.521999999999998</v>
      </c>
      <c r="F152" s="174">
        <v>837.52099999999996</v>
      </c>
      <c r="G152" s="174">
        <v>1194</v>
      </c>
      <c r="H152" s="174">
        <v>11.364000000000001</v>
      </c>
      <c r="I152" s="174">
        <v>12.09</v>
      </c>
      <c r="J152" s="174">
        <v>9.5180000000000007</v>
      </c>
      <c r="K152" s="174">
        <v>10.125</v>
      </c>
      <c r="Z152">
        <v>2017</v>
      </c>
      <c r="AA152" t="s">
        <v>205</v>
      </c>
      <c r="AB152">
        <v>113</v>
      </c>
    </row>
    <row r="153" spans="1:28" ht="16.5" thickTop="1" thickBot="1" x14ac:dyDescent="0.3">
      <c r="A153" s="414"/>
      <c r="B153" s="165" t="s">
        <v>137</v>
      </c>
      <c r="C153" s="173">
        <v>2023</v>
      </c>
      <c r="D153" s="174">
        <v>45.956000000000003</v>
      </c>
      <c r="E153" s="174">
        <v>49.345999999999997</v>
      </c>
      <c r="F153" s="174">
        <v>531.09799999999996</v>
      </c>
      <c r="G153" s="174">
        <v>1882.893</v>
      </c>
      <c r="H153" s="174">
        <v>12.765000000000001</v>
      </c>
      <c r="I153" s="174">
        <v>13.707000000000001</v>
      </c>
      <c r="J153" s="174">
        <v>6.78</v>
      </c>
      <c r="K153" s="174">
        <v>7.28</v>
      </c>
      <c r="Z153">
        <v>2017</v>
      </c>
      <c r="AA153" t="s">
        <v>206</v>
      </c>
      <c r="AB153">
        <v>188</v>
      </c>
    </row>
    <row r="154" spans="1:28" ht="16.5" thickTop="1" thickBot="1" x14ac:dyDescent="0.3">
      <c r="A154" s="414"/>
      <c r="B154" s="165" t="s">
        <v>152</v>
      </c>
      <c r="C154" s="173">
        <v>2023</v>
      </c>
      <c r="D154" s="174">
        <v>45.418999999999997</v>
      </c>
      <c r="E154" s="174">
        <v>47.81</v>
      </c>
      <c r="F154" s="174">
        <v>677.048</v>
      </c>
      <c r="G154" s="174">
        <v>1477</v>
      </c>
      <c r="H154" s="174">
        <v>12.617000000000001</v>
      </c>
      <c r="I154" s="174">
        <v>13.281000000000001</v>
      </c>
      <c r="J154" s="174">
        <v>8.5419999999999998</v>
      </c>
      <c r="K154" s="174">
        <v>8.9920000000000009</v>
      </c>
      <c r="Z154">
        <v>2017</v>
      </c>
      <c r="AA154" t="s">
        <v>207</v>
      </c>
      <c r="AB154">
        <v>170</v>
      </c>
    </row>
    <row r="155" spans="1:28" ht="16.5" thickTop="1" thickBot="1" x14ac:dyDescent="0.3">
      <c r="A155" s="414"/>
      <c r="B155" s="165" t="s">
        <v>618</v>
      </c>
      <c r="C155" s="173">
        <v>2023</v>
      </c>
      <c r="D155" s="174">
        <v>45.521999999999998</v>
      </c>
      <c r="E155" s="174">
        <v>50.433</v>
      </c>
      <c r="F155" s="174">
        <v>0.79500000000000004</v>
      </c>
      <c r="G155" s="174">
        <v>1257160.2720000001</v>
      </c>
      <c r="H155" s="174">
        <v>12.645</v>
      </c>
      <c r="I155" s="174">
        <v>14.009</v>
      </c>
      <c r="J155" s="174">
        <v>0.01</v>
      </c>
      <c r="K155" s="174">
        <v>1.0999999999999999E-2</v>
      </c>
      <c r="Z155">
        <v>1996</v>
      </c>
      <c r="AA155" t="s">
        <v>197</v>
      </c>
      <c r="AB155">
        <v>432</v>
      </c>
    </row>
    <row r="156" spans="1:28" ht="16.5" thickTop="1" thickBot="1" x14ac:dyDescent="0.3">
      <c r="A156" s="414"/>
      <c r="B156" s="165" t="s">
        <v>619</v>
      </c>
      <c r="C156" s="173">
        <v>2023</v>
      </c>
      <c r="D156" s="174">
        <v>45.521999999999998</v>
      </c>
      <c r="E156" s="174">
        <v>50.433</v>
      </c>
      <c r="F156" s="174">
        <v>0.79500000000000004</v>
      </c>
      <c r="G156" s="174">
        <v>1257160.2720000001</v>
      </c>
      <c r="H156" s="174">
        <v>12.645</v>
      </c>
      <c r="I156" s="174">
        <v>14.009</v>
      </c>
      <c r="J156" s="174">
        <v>0.01</v>
      </c>
      <c r="K156" s="174">
        <v>1.0999999999999999E-2</v>
      </c>
      <c r="Z156">
        <v>2017</v>
      </c>
      <c r="AA156" t="s">
        <v>209</v>
      </c>
      <c r="AB156">
        <v>84</v>
      </c>
    </row>
    <row r="157" spans="1:28" ht="16.5" thickTop="1" thickBot="1" x14ac:dyDescent="0.3">
      <c r="A157" s="414"/>
      <c r="B157" s="177" t="s">
        <v>141</v>
      </c>
      <c r="C157" s="173">
        <v>2023</v>
      </c>
      <c r="D157" s="174">
        <v>46.601999999999997</v>
      </c>
      <c r="E157" s="174">
        <v>50.654000000000003</v>
      </c>
      <c r="F157" s="174">
        <v>366.3</v>
      </c>
      <c r="G157" s="174">
        <v>2730</v>
      </c>
      <c r="H157" s="174">
        <v>12.945</v>
      </c>
      <c r="I157" s="174">
        <v>14.071</v>
      </c>
      <c r="J157" s="174">
        <v>4.742</v>
      </c>
      <c r="K157" s="174">
        <v>5.1539999999999999</v>
      </c>
      <c r="Z157">
        <v>2017</v>
      </c>
      <c r="AA157" t="s">
        <v>210</v>
      </c>
      <c r="AB157">
        <v>258</v>
      </c>
    </row>
    <row r="158" spans="1:28" ht="16.5" thickTop="1" thickBot="1" x14ac:dyDescent="0.3">
      <c r="A158" s="414"/>
      <c r="B158" s="177" t="s">
        <v>166</v>
      </c>
      <c r="C158" s="173">
        <v>2023</v>
      </c>
      <c r="D158" s="174">
        <v>33.972000000000001</v>
      </c>
      <c r="E158" s="174">
        <v>35.76</v>
      </c>
      <c r="F158" s="175"/>
      <c r="G158" s="175"/>
      <c r="H158" s="174">
        <v>9.4369999999999994</v>
      </c>
      <c r="I158" s="174">
        <v>9.9329999999999998</v>
      </c>
      <c r="J158" s="176"/>
      <c r="K158" s="176"/>
      <c r="Z158">
        <v>2017</v>
      </c>
      <c r="AA158" t="s">
        <v>211</v>
      </c>
      <c r="AB158">
        <v>306</v>
      </c>
    </row>
    <row r="159" spans="1:28" ht="16.5" thickTop="1" thickBot="1" x14ac:dyDescent="0.3">
      <c r="A159" s="414"/>
      <c r="B159" s="177" t="s">
        <v>154</v>
      </c>
      <c r="C159" s="173">
        <v>2023</v>
      </c>
      <c r="D159" s="174">
        <v>44.627000000000002</v>
      </c>
      <c r="E159" s="174">
        <v>46.975999999999999</v>
      </c>
      <c r="F159" s="174">
        <v>743.49400000000003</v>
      </c>
      <c r="G159" s="174">
        <v>1345</v>
      </c>
      <c r="H159" s="174">
        <v>12.396000000000001</v>
      </c>
      <c r="I159" s="174">
        <v>13.048999999999999</v>
      </c>
      <c r="J159" s="174">
        <v>9.2170000000000005</v>
      </c>
      <c r="K159" s="174">
        <v>9.702</v>
      </c>
      <c r="Z159">
        <v>2017</v>
      </c>
      <c r="AA159" t="s">
        <v>212</v>
      </c>
      <c r="AB159">
        <v>255</v>
      </c>
    </row>
    <row r="160" spans="1:28" ht="16.5" thickTop="1" thickBot="1" x14ac:dyDescent="0.3">
      <c r="A160" s="414"/>
      <c r="B160" s="178" t="s">
        <v>153</v>
      </c>
      <c r="C160" s="173">
        <v>2023</v>
      </c>
      <c r="D160" s="174">
        <v>43.183999999999997</v>
      </c>
      <c r="E160" s="174">
        <v>45.576999999999998</v>
      </c>
      <c r="F160" s="174">
        <v>747.34400000000005</v>
      </c>
      <c r="G160" s="174">
        <v>1338.0719999999999</v>
      </c>
      <c r="H160" s="174">
        <v>11.994999999999999</v>
      </c>
      <c r="I160" s="174">
        <v>12.66</v>
      </c>
      <c r="J160" s="174">
        <v>8.9649999999999999</v>
      </c>
      <c r="K160" s="174">
        <v>9.4619999999999997</v>
      </c>
      <c r="Z160">
        <v>2017</v>
      </c>
      <c r="AA160" t="s">
        <v>213</v>
      </c>
      <c r="AB160">
        <v>332</v>
      </c>
    </row>
    <row r="161" spans="1:28" ht="16.5" thickTop="1" thickBot="1" x14ac:dyDescent="0.3">
      <c r="A161" s="414"/>
      <c r="B161" s="178" t="s">
        <v>142</v>
      </c>
      <c r="C161" s="173">
        <v>2023</v>
      </c>
      <c r="D161" s="174">
        <v>46.4</v>
      </c>
      <c r="E161" s="174">
        <v>50.4</v>
      </c>
      <c r="F161" s="174">
        <v>515.19799999999998</v>
      </c>
      <c r="G161" s="174">
        <v>1941</v>
      </c>
      <c r="H161" s="174">
        <v>12.888999999999999</v>
      </c>
      <c r="I161" s="174">
        <v>14</v>
      </c>
      <c r="J161" s="174">
        <v>6.64</v>
      </c>
      <c r="K161" s="174">
        <v>7.2130000000000001</v>
      </c>
      <c r="Z161">
        <v>2017</v>
      </c>
      <c r="AA161" t="s">
        <v>214</v>
      </c>
      <c r="AB161">
        <v>265</v>
      </c>
    </row>
    <row r="162" spans="1:28" ht="16.5" thickTop="1" thickBot="1" x14ac:dyDescent="0.3">
      <c r="A162" s="415"/>
      <c r="B162" s="178" t="s">
        <v>158</v>
      </c>
      <c r="C162" s="179">
        <v>2023</v>
      </c>
      <c r="D162" s="180">
        <v>42.207999999999998</v>
      </c>
      <c r="E162" s="181">
        <v>45.2</v>
      </c>
      <c r="F162" s="182">
        <v>842.46</v>
      </c>
      <c r="G162" s="180">
        <v>1187</v>
      </c>
      <c r="H162" s="180">
        <v>11.724</v>
      </c>
      <c r="I162" s="181">
        <v>12.555999999999999</v>
      </c>
      <c r="J162" s="180">
        <v>9.8770000000000007</v>
      </c>
      <c r="K162" s="181">
        <v>10.577999999999999</v>
      </c>
      <c r="Z162">
        <v>2017</v>
      </c>
      <c r="AA162" t="s">
        <v>215</v>
      </c>
      <c r="AB162">
        <v>398</v>
      </c>
    </row>
    <row r="163" spans="1:28" ht="16.5" thickTop="1" thickBot="1" x14ac:dyDescent="0.3">
      <c r="A163" s="75"/>
      <c r="B163" s="183"/>
      <c r="C163" s="184"/>
      <c r="D163" s="185"/>
      <c r="E163" s="185"/>
      <c r="F163" s="186"/>
      <c r="G163" s="187"/>
      <c r="H163" s="185"/>
      <c r="I163" s="185"/>
      <c r="J163" s="75"/>
      <c r="K163" s="75"/>
      <c r="Z163">
        <v>2017</v>
      </c>
      <c r="AA163" t="s">
        <v>216</v>
      </c>
      <c r="AB163">
        <v>458</v>
      </c>
    </row>
    <row r="164" spans="1:28" ht="30.75" thickTop="1" x14ac:dyDescent="0.25">
      <c r="A164" s="75"/>
      <c r="B164" s="412"/>
      <c r="C164" s="165" t="s">
        <v>191</v>
      </c>
      <c r="D164" s="165" t="s">
        <v>604</v>
      </c>
      <c r="E164" s="165" t="s">
        <v>605</v>
      </c>
      <c r="F164" s="165" t="s">
        <v>606</v>
      </c>
      <c r="G164" s="165" t="s">
        <v>607</v>
      </c>
      <c r="H164" s="165" t="s">
        <v>604</v>
      </c>
      <c r="I164" s="165" t="s">
        <v>605</v>
      </c>
      <c r="J164" s="165" t="s">
        <v>604</v>
      </c>
      <c r="K164" s="165" t="s">
        <v>605</v>
      </c>
      <c r="Z164">
        <v>2017</v>
      </c>
      <c r="AA164" t="s">
        <v>217</v>
      </c>
      <c r="AB164">
        <v>435</v>
      </c>
    </row>
    <row r="165" spans="1:28" ht="30.75" thickBot="1" x14ac:dyDescent="0.3">
      <c r="A165" s="75"/>
      <c r="B165" s="412"/>
      <c r="C165" s="167"/>
      <c r="D165" s="167" t="s">
        <v>608</v>
      </c>
      <c r="E165" s="167" t="s">
        <v>608</v>
      </c>
      <c r="F165" s="167" t="s">
        <v>620</v>
      </c>
      <c r="G165" s="188" t="s">
        <v>610</v>
      </c>
      <c r="H165" s="168" t="s">
        <v>611</v>
      </c>
      <c r="I165" s="168" t="s">
        <v>611</v>
      </c>
      <c r="J165" s="168" t="s">
        <v>612</v>
      </c>
      <c r="K165" s="168" t="s">
        <v>612</v>
      </c>
      <c r="Z165">
        <v>1995</v>
      </c>
      <c r="AA165" t="s">
        <v>197</v>
      </c>
      <c r="AB165">
        <v>445</v>
      </c>
    </row>
    <row r="166" spans="1:28" ht="16.5" thickTop="1" thickBot="1" x14ac:dyDescent="0.3">
      <c r="A166" s="413" t="s">
        <v>621</v>
      </c>
      <c r="B166" s="178" t="s">
        <v>622</v>
      </c>
      <c r="C166" s="171">
        <v>2023</v>
      </c>
      <c r="D166" s="174">
        <v>37.200000000000003</v>
      </c>
      <c r="E166" s="174">
        <v>38.700000000000003</v>
      </c>
      <c r="F166" s="174">
        <v>890</v>
      </c>
      <c r="G166" s="189">
        <v>1123.596</v>
      </c>
      <c r="H166" s="174">
        <v>10.333</v>
      </c>
      <c r="I166" s="174">
        <v>10.75</v>
      </c>
      <c r="J166" s="172">
        <v>9.1969999999999992</v>
      </c>
      <c r="K166" s="172">
        <v>9.5679999999999996</v>
      </c>
      <c r="Z166">
        <v>2017</v>
      </c>
      <c r="AA166" t="s">
        <v>219</v>
      </c>
      <c r="AB166">
        <v>472</v>
      </c>
    </row>
    <row r="167" spans="1:28" ht="16.5" thickTop="1" thickBot="1" x14ac:dyDescent="0.3">
      <c r="A167" s="414"/>
      <c r="B167" s="165" t="s">
        <v>623</v>
      </c>
      <c r="C167" s="173">
        <v>2023</v>
      </c>
      <c r="D167" s="174">
        <v>44</v>
      </c>
      <c r="E167" s="174">
        <v>45.832999999999998</v>
      </c>
      <c r="F167" s="174">
        <v>780</v>
      </c>
      <c r="G167" s="189">
        <v>1282.0509999999999</v>
      </c>
      <c r="H167" s="174">
        <v>12.222</v>
      </c>
      <c r="I167" s="174">
        <v>12.731</v>
      </c>
      <c r="J167" s="174">
        <v>9.5329999999999995</v>
      </c>
      <c r="K167" s="174">
        <v>9.9309999999999992</v>
      </c>
      <c r="Z167">
        <v>2017</v>
      </c>
      <c r="AA167" t="s">
        <v>220</v>
      </c>
      <c r="AB167">
        <v>657</v>
      </c>
    </row>
    <row r="168" spans="1:28" ht="16.5" thickTop="1" thickBot="1" x14ac:dyDescent="0.3">
      <c r="A168" s="414"/>
      <c r="B168" s="165" t="s">
        <v>169</v>
      </c>
      <c r="C168" s="173">
        <v>2023</v>
      </c>
      <c r="D168" s="174">
        <v>26.8</v>
      </c>
      <c r="E168" s="174">
        <v>29.7</v>
      </c>
      <c r="F168" s="174">
        <v>794</v>
      </c>
      <c r="G168" s="189">
        <v>1259.4459999999999</v>
      </c>
      <c r="H168" s="174">
        <v>7.444</v>
      </c>
      <c r="I168" s="174">
        <v>8.25</v>
      </c>
      <c r="J168" s="174">
        <v>5.9109999999999996</v>
      </c>
      <c r="K168" s="174">
        <v>6.5510000000000002</v>
      </c>
      <c r="Z168">
        <v>2017</v>
      </c>
      <c r="AA168" t="s">
        <v>221</v>
      </c>
      <c r="AB168">
        <v>499</v>
      </c>
    </row>
    <row r="169" spans="1:28" ht="16.5" thickTop="1" thickBot="1" x14ac:dyDescent="0.3">
      <c r="A169" s="414"/>
      <c r="B169" s="165" t="s">
        <v>624</v>
      </c>
      <c r="C169" s="173">
        <v>2023</v>
      </c>
      <c r="D169" s="174">
        <v>36.299999999999997</v>
      </c>
      <c r="E169" s="174">
        <v>39.628999999999998</v>
      </c>
      <c r="F169" s="174">
        <v>750</v>
      </c>
      <c r="G169" s="189">
        <v>1333.3330000000001</v>
      </c>
      <c r="H169" s="174">
        <v>10.083</v>
      </c>
      <c r="I169" s="174">
        <v>11.007999999999999</v>
      </c>
      <c r="J169" s="174">
        <v>7.5629999999999997</v>
      </c>
      <c r="K169" s="174">
        <v>8.2560000000000002</v>
      </c>
      <c r="Z169">
        <v>2017</v>
      </c>
      <c r="AA169" t="s">
        <v>222</v>
      </c>
      <c r="AB169">
        <v>661</v>
      </c>
    </row>
    <row r="170" spans="1:28" ht="16.5" thickTop="1" thickBot="1" x14ac:dyDescent="0.3">
      <c r="A170" s="414"/>
      <c r="B170" s="165" t="s">
        <v>188</v>
      </c>
      <c r="C170" s="173">
        <v>2023</v>
      </c>
      <c r="D170" s="174">
        <v>20</v>
      </c>
      <c r="E170" s="174">
        <v>21.978000000000002</v>
      </c>
      <c r="F170" s="174">
        <v>1.1499999999999999</v>
      </c>
      <c r="G170" s="189">
        <v>869565.21699999995</v>
      </c>
      <c r="H170" s="174">
        <v>5.556</v>
      </c>
      <c r="I170" s="174">
        <v>6.1050000000000004</v>
      </c>
      <c r="J170" s="174">
        <v>6.0000000000000001E-3</v>
      </c>
      <c r="K170" s="174">
        <v>7.0000000000000001E-3</v>
      </c>
      <c r="Z170">
        <v>2017</v>
      </c>
      <c r="AA170" t="s">
        <v>223</v>
      </c>
      <c r="AB170">
        <v>904</v>
      </c>
    </row>
    <row r="171" spans="1:28" ht="16.5" thickTop="1" thickBot="1" x14ac:dyDescent="0.3">
      <c r="A171" s="414"/>
      <c r="B171" s="165" t="s">
        <v>625</v>
      </c>
      <c r="C171" s="173">
        <v>2023</v>
      </c>
      <c r="D171" s="174">
        <v>49</v>
      </c>
      <c r="E171" s="174">
        <v>54.286999999999999</v>
      </c>
      <c r="F171" s="174">
        <v>0.72499999999999998</v>
      </c>
      <c r="G171" s="189">
        <v>1379355.673</v>
      </c>
      <c r="H171" s="174">
        <v>13.611000000000001</v>
      </c>
      <c r="I171" s="174">
        <v>15.08</v>
      </c>
      <c r="J171" s="174">
        <v>0.01</v>
      </c>
      <c r="K171" s="174">
        <v>1.0999999999999999E-2</v>
      </c>
      <c r="Z171">
        <v>1994</v>
      </c>
      <c r="AA171" t="s">
        <v>197</v>
      </c>
      <c r="AB171">
        <v>456</v>
      </c>
    </row>
    <row r="172" spans="1:28" ht="16.5" thickTop="1" thickBot="1" x14ac:dyDescent="0.3">
      <c r="A172" s="414"/>
      <c r="B172" s="165" t="s">
        <v>135</v>
      </c>
      <c r="C172" s="173">
        <v>2023</v>
      </c>
      <c r="D172" s="174">
        <v>45.521999999999998</v>
      </c>
      <c r="E172" s="174">
        <v>50.433</v>
      </c>
      <c r="F172" s="174">
        <v>175</v>
      </c>
      <c r="G172" s="189">
        <v>5714.2860000000001</v>
      </c>
      <c r="H172" s="174">
        <v>12.645</v>
      </c>
      <c r="I172" s="174">
        <v>14.009</v>
      </c>
      <c r="J172" s="174">
        <v>2.2130000000000001</v>
      </c>
      <c r="K172" s="174">
        <v>2.452</v>
      </c>
      <c r="Z172">
        <v>1993</v>
      </c>
      <c r="AA172" t="s">
        <v>197</v>
      </c>
      <c r="AB172">
        <v>459</v>
      </c>
    </row>
    <row r="173" spans="1:28" ht="16.5" thickTop="1" thickBot="1" x14ac:dyDescent="0.3">
      <c r="A173" s="414"/>
      <c r="B173" s="165" t="s">
        <v>626</v>
      </c>
      <c r="C173" s="173">
        <v>2023</v>
      </c>
      <c r="D173" s="174">
        <v>13.388</v>
      </c>
      <c r="E173" s="174">
        <v>15.75</v>
      </c>
      <c r="F173" s="174">
        <v>160</v>
      </c>
      <c r="G173" s="189">
        <v>6250</v>
      </c>
      <c r="H173" s="174">
        <v>3.7189999999999999</v>
      </c>
      <c r="I173" s="174">
        <v>4.375</v>
      </c>
      <c r="J173" s="176"/>
      <c r="K173" s="176"/>
      <c r="Z173">
        <v>1992</v>
      </c>
      <c r="AA173" t="s">
        <v>197</v>
      </c>
      <c r="AB173">
        <v>478</v>
      </c>
    </row>
    <row r="174" spans="1:28" ht="16.5" thickTop="1" thickBot="1" x14ac:dyDescent="0.3">
      <c r="A174" s="414"/>
      <c r="B174" s="165" t="s">
        <v>627</v>
      </c>
      <c r="C174" s="173">
        <v>2023</v>
      </c>
      <c r="D174" s="174">
        <v>12.3</v>
      </c>
      <c r="E174" s="174">
        <v>13.516</v>
      </c>
      <c r="F174" s="174">
        <v>1.3</v>
      </c>
      <c r="G174" s="189">
        <v>769230.76899999997</v>
      </c>
      <c r="H174" s="174">
        <v>3.4169999999999998</v>
      </c>
      <c r="I174" s="174">
        <v>3.7549999999999999</v>
      </c>
      <c r="J174" s="174">
        <v>4.0000000000000001E-3</v>
      </c>
      <c r="K174" s="174">
        <v>5.0000000000000001E-3</v>
      </c>
      <c r="Z174">
        <v>2016</v>
      </c>
      <c r="AA174" t="s">
        <v>199</v>
      </c>
      <c r="AB174">
        <v>72</v>
      </c>
    </row>
    <row r="175" spans="1:28" ht="16.5" thickTop="1" thickBot="1" x14ac:dyDescent="0.3">
      <c r="A175" s="414"/>
      <c r="B175" s="165" t="s">
        <v>136</v>
      </c>
      <c r="C175" s="173">
        <v>2023</v>
      </c>
      <c r="D175" s="174">
        <v>45.521999999999998</v>
      </c>
      <c r="E175" s="174">
        <v>50.433</v>
      </c>
      <c r="F175" s="174">
        <v>452.48899999999998</v>
      </c>
      <c r="G175" s="189">
        <v>2210</v>
      </c>
      <c r="H175" s="174">
        <v>12.645</v>
      </c>
      <c r="I175" s="174">
        <v>14.009</v>
      </c>
      <c r="J175" s="174">
        <v>5.7220000000000004</v>
      </c>
      <c r="K175" s="174">
        <v>6.3390000000000004</v>
      </c>
      <c r="Z175">
        <v>2016</v>
      </c>
      <c r="AA175" t="s">
        <v>200</v>
      </c>
      <c r="AB175">
        <v>103</v>
      </c>
    </row>
    <row r="176" spans="1:28" ht="16.5" thickTop="1" thickBot="1" x14ac:dyDescent="0.3">
      <c r="A176" s="414"/>
      <c r="B176" s="165" t="s">
        <v>628</v>
      </c>
      <c r="C176" s="173">
        <v>2023</v>
      </c>
      <c r="D176" s="174">
        <v>13.6</v>
      </c>
      <c r="E176" s="174">
        <v>14.712999999999999</v>
      </c>
      <c r="F176" s="174">
        <v>253</v>
      </c>
      <c r="G176" s="189">
        <v>3952.569</v>
      </c>
      <c r="H176" s="174">
        <v>3.778</v>
      </c>
      <c r="I176" s="174">
        <v>4.0869999999999997</v>
      </c>
      <c r="J176" s="190"/>
      <c r="K176" s="176"/>
      <c r="Z176">
        <v>2016</v>
      </c>
      <c r="AA176" t="s">
        <v>201</v>
      </c>
      <c r="AB176">
        <v>66</v>
      </c>
    </row>
    <row r="177" spans="1:28" ht="16.5" thickTop="1" thickBot="1" x14ac:dyDescent="0.3">
      <c r="A177" s="414"/>
      <c r="B177" s="165" t="s">
        <v>629</v>
      </c>
      <c r="C177" s="173">
        <v>2023</v>
      </c>
      <c r="D177" s="174">
        <v>14.71</v>
      </c>
      <c r="E177" s="174">
        <v>16.256</v>
      </c>
      <c r="F177" s="174">
        <v>425</v>
      </c>
      <c r="G177" s="189">
        <v>2352.9409999999998</v>
      </c>
      <c r="H177" s="174">
        <v>4.0860000000000003</v>
      </c>
      <c r="I177" s="174">
        <v>4.516</v>
      </c>
      <c r="J177" s="191"/>
      <c r="K177" s="192"/>
      <c r="Z177">
        <v>2016</v>
      </c>
      <c r="AA177" t="s">
        <v>202</v>
      </c>
      <c r="AB177">
        <v>116</v>
      </c>
    </row>
    <row r="178" spans="1:28" ht="16.5" thickTop="1" thickBot="1" x14ac:dyDescent="0.3">
      <c r="A178" s="415"/>
      <c r="B178" s="178" t="s">
        <v>630</v>
      </c>
      <c r="C178" s="179">
        <v>2023</v>
      </c>
      <c r="D178" s="180">
        <v>17.28</v>
      </c>
      <c r="E178" s="180">
        <v>18.693999999999999</v>
      </c>
      <c r="F178" s="193">
        <v>650</v>
      </c>
      <c r="G178" s="182">
        <v>1538.462</v>
      </c>
      <c r="H178" s="180">
        <v>4.8</v>
      </c>
      <c r="I178" s="180">
        <v>5.1929999999999996</v>
      </c>
      <c r="J178" s="194"/>
      <c r="K178" s="194"/>
      <c r="Z178">
        <v>2016</v>
      </c>
      <c r="AA178" t="s">
        <v>203</v>
      </c>
      <c r="AB178">
        <v>94</v>
      </c>
    </row>
    <row r="179" spans="1:28" ht="16.5" thickTop="1" thickBot="1" x14ac:dyDescent="0.3">
      <c r="A179" s="75"/>
      <c r="B179" s="75"/>
      <c r="C179" s="195"/>
      <c r="D179" s="75"/>
      <c r="E179" s="75"/>
      <c r="F179" s="75"/>
      <c r="G179" s="196"/>
      <c r="H179" s="75"/>
      <c r="I179" s="75"/>
      <c r="J179" s="75"/>
      <c r="K179" s="75"/>
      <c r="Z179">
        <v>2016</v>
      </c>
      <c r="AA179" t="s">
        <v>204</v>
      </c>
      <c r="AB179">
        <v>230</v>
      </c>
    </row>
    <row r="180" spans="1:28" ht="30.75" thickTop="1" x14ac:dyDescent="0.25">
      <c r="A180" s="75"/>
      <c r="B180" s="412"/>
      <c r="C180" s="165" t="s">
        <v>191</v>
      </c>
      <c r="D180" s="165" t="s">
        <v>604</v>
      </c>
      <c r="E180" s="165" t="s">
        <v>605</v>
      </c>
      <c r="F180" s="165" t="s">
        <v>606</v>
      </c>
      <c r="G180" s="165" t="s">
        <v>607</v>
      </c>
      <c r="H180" s="165" t="s">
        <v>604</v>
      </c>
      <c r="I180" s="165" t="s">
        <v>605</v>
      </c>
      <c r="J180" s="165" t="s">
        <v>604</v>
      </c>
      <c r="K180" s="165" t="s">
        <v>605</v>
      </c>
      <c r="Z180">
        <v>2016</v>
      </c>
      <c r="AA180" t="s">
        <v>205</v>
      </c>
      <c r="AB180">
        <v>118</v>
      </c>
    </row>
    <row r="181" spans="1:28" ht="30.75" thickBot="1" x14ac:dyDescent="0.3">
      <c r="A181" s="75"/>
      <c r="B181" s="412"/>
      <c r="C181" s="167"/>
      <c r="D181" s="167" t="s">
        <v>608</v>
      </c>
      <c r="E181" s="167" t="s">
        <v>608</v>
      </c>
      <c r="F181" s="167" t="s">
        <v>620</v>
      </c>
      <c r="G181" s="188" t="s">
        <v>610</v>
      </c>
      <c r="H181" s="168" t="s">
        <v>611</v>
      </c>
      <c r="I181" s="168" t="s">
        <v>611</v>
      </c>
      <c r="J181" s="168" t="s">
        <v>612</v>
      </c>
      <c r="K181" s="168" t="s">
        <v>612</v>
      </c>
      <c r="Z181">
        <v>2016</v>
      </c>
      <c r="AA181" t="s">
        <v>206</v>
      </c>
      <c r="AB181">
        <v>204</v>
      </c>
    </row>
    <row r="182" spans="1:28" ht="19.5" thickTop="1" x14ac:dyDescent="0.25">
      <c r="A182" s="413" t="s">
        <v>631</v>
      </c>
      <c r="B182" s="165" t="s">
        <v>632</v>
      </c>
      <c r="C182" s="171">
        <v>2023</v>
      </c>
      <c r="D182" s="174">
        <v>50</v>
      </c>
      <c r="E182" s="174">
        <v>55.395000000000003</v>
      </c>
      <c r="F182" s="174">
        <v>0.71599999999999997</v>
      </c>
      <c r="G182" s="189">
        <v>1397112.108</v>
      </c>
      <c r="H182" s="174">
        <v>13.888999999999999</v>
      </c>
      <c r="I182" s="174">
        <v>15.387</v>
      </c>
      <c r="J182" s="174">
        <v>0.01</v>
      </c>
      <c r="K182" s="174">
        <v>1.0999999999999999E-2</v>
      </c>
      <c r="Z182">
        <v>2016</v>
      </c>
      <c r="AA182" t="s">
        <v>207</v>
      </c>
      <c r="AB182">
        <v>162</v>
      </c>
    </row>
    <row r="183" spans="1:28" ht="19.5" thickBot="1" x14ac:dyDescent="0.3">
      <c r="A183" s="415"/>
      <c r="B183" s="168" t="s">
        <v>633</v>
      </c>
      <c r="C183" s="179">
        <v>2023</v>
      </c>
      <c r="D183" s="180">
        <v>0</v>
      </c>
      <c r="E183" s="180">
        <v>0</v>
      </c>
      <c r="F183" s="193">
        <v>1.964</v>
      </c>
      <c r="G183" s="182">
        <v>509290.37800000003</v>
      </c>
      <c r="H183" s="180">
        <v>0</v>
      </c>
      <c r="I183" s="180">
        <v>0</v>
      </c>
      <c r="J183" s="180">
        <v>0</v>
      </c>
      <c r="K183" s="180">
        <v>0</v>
      </c>
      <c r="Z183">
        <v>1991</v>
      </c>
      <c r="AA183" t="s">
        <v>197</v>
      </c>
      <c r="AB183">
        <v>490</v>
      </c>
    </row>
    <row r="184" spans="1:28" ht="15.75" thickTop="1" x14ac:dyDescent="0.25">
      <c r="Z184">
        <v>2016</v>
      </c>
      <c r="AA184" t="s">
        <v>209</v>
      </c>
      <c r="AB184">
        <v>143</v>
      </c>
    </row>
    <row r="185" spans="1:28" x14ac:dyDescent="0.25">
      <c r="Z185">
        <v>2016</v>
      </c>
      <c r="AA185" t="s">
        <v>210</v>
      </c>
      <c r="AB185">
        <v>252</v>
      </c>
    </row>
    <row r="186" spans="1:28" x14ac:dyDescent="0.25">
      <c r="Z186">
        <v>2016</v>
      </c>
      <c r="AA186" t="s">
        <v>211</v>
      </c>
      <c r="AB186">
        <v>266</v>
      </c>
    </row>
    <row r="187" spans="1:28" x14ac:dyDescent="0.25">
      <c r="Z187">
        <v>2016</v>
      </c>
      <c r="AA187" t="s">
        <v>212</v>
      </c>
      <c r="AB187">
        <v>253</v>
      </c>
    </row>
    <row r="188" spans="1:28" x14ac:dyDescent="0.25">
      <c r="Z188">
        <v>2016</v>
      </c>
      <c r="AA188" t="s">
        <v>213</v>
      </c>
      <c r="AB188">
        <v>315</v>
      </c>
    </row>
    <row r="189" spans="1:28" x14ac:dyDescent="0.25">
      <c r="Z189">
        <v>2016</v>
      </c>
      <c r="AA189" t="s">
        <v>214</v>
      </c>
      <c r="AB189">
        <v>263</v>
      </c>
    </row>
    <row r="190" spans="1:28" x14ac:dyDescent="0.25">
      <c r="Z190">
        <v>2016</v>
      </c>
      <c r="AA190" t="s">
        <v>215</v>
      </c>
      <c r="AB190">
        <v>428</v>
      </c>
    </row>
    <row r="191" spans="1:28" x14ac:dyDescent="0.25">
      <c r="Z191">
        <v>2016</v>
      </c>
      <c r="AA191" t="s">
        <v>216</v>
      </c>
      <c r="AB191">
        <v>484</v>
      </c>
    </row>
    <row r="192" spans="1:28" x14ac:dyDescent="0.25">
      <c r="Z192">
        <v>2016</v>
      </c>
      <c r="AA192" t="s">
        <v>217</v>
      </c>
      <c r="AB192">
        <v>653</v>
      </c>
    </row>
    <row r="193" spans="26:28" x14ac:dyDescent="0.25">
      <c r="Z193">
        <v>1990</v>
      </c>
      <c r="AA193" t="s">
        <v>197</v>
      </c>
      <c r="AB193">
        <v>501</v>
      </c>
    </row>
    <row r="194" spans="26:28" x14ac:dyDescent="0.25">
      <c r="Z194">
        <v>2016</v>
      </c>
      <c r="AA194" t="s">
        <v>219</v>
      </c>
      <c r="AB194">
        <v>499</v>
      </c>
    </row>
    <row r="195" spans="26:28" x14ac:dyDescent="0.25">
      <c r="Z195">
        <v>2016</v>
      </c>
      <c r="AA195" t="s">
        <v>220</v>
      </c>
      <c r="AB195">
        <v>621</v>
      </c>
    </row>
    <row r="196" spans="26:28" x14ac:dyDescent="0.25">
      <c r="Z196">
        <v>2016</v>
      </c>
      <c r="AA196" t="s">
        <v>221</v>
      </c>
      <c r="AB196">
        <v>467</v>
      </c>
    </row>
    <row r="197" spans="26:28" x14ac:dyDescent="0.25">
      <c r="Z197">
        <v>2016</v>
      </c>
      <c r="AA197" t="s">
        <v>222</v>
      </c>
      <c r="AB197">
        <v>679</v>
      </c>
    </row>
    <row r="198" spans="26:28" x14ac:dyDescent="0.25">
      <c r="Z198">
        <v>2016</v>
      </c>
      <c r="AA198" t="s">
        <v>223</v>
      </c>
      <c r="AB198">
        <v>912</v>
      </c>
    </row>
    <row r="199" spans="26:28" x14ac:dyDescent="0.25">
      <c r="Z199">
        <v>2022</v>
      </c>
      <c r="AA199" t="s">
        <v>218</v>
      </c>
      <c r="AB199">
        <v>366</v>
      </c>
    </row>
    <row r="200" spans="26:28" x14ac:dyDescent="0.25">
      <c r="Z200">
        <v>2021</v>
      </c>
      <c r="AA200" t="s">
        <v>218</v>
      </c>
      <c r="AB200">
        <v>347</v>
      </c>
    </row>
    <row r="201" spans="26:28" x14ac:dyDescent="0.25">
      <c r="Z201">
        <v>2020</v>
      </c>
      <c r="AA201" t="s">
        <v>218</v>
      </c>
      <c r="AB201">
        <v>312</v>
      </c>
    </row>
    <row r="202" spans="26:28" x14ac:dyDescent="0.25">
      <c r="Z202">
        <v>2015</v>
      </c>
      <c r="AA202" t="s">
        <v>199</v>
      </c>
      <c r="AB202">
        <v>138</v>
      </c>
    </row>
    <row r="203" spans="26:28" x14ac:dyDescent="0.25">
      <c r="Z203">
        <v>2015</v>
      </c>
      <c r="AA203" t="s">
        <v>200</v>
      </c>
      <c r="AB203">
        <v>99</v>
      </c>
    </row>
    <row r="204" spans="26:28" x14ac:dyDescent="0.25">
      <c r="Z204">
        <v>2015</v>
      </c>
      <c r="AA204" t="s">
        <v>201</v>
      </c>
      <c r="AB204">
        <v>58</v>
      </c>
    </row>
    <row r="205" spans="26:28" x14ac:dyDescent="0.25">
      <c r="Z205">
        <v>2015</v>
      </c>
      <c r="AA205" t="s">
        <v>202</v>
      </c>
      <c r="AB205">
        <v>146</v>
      </c>
    </row>
    <row r="206" spans="26:28" x14ac:dyDescent="0.25">
      <c r="Z206">
        <v>2015</v>
      </c>
      <c r="AA206" t="s">
        <v>203</v>
      </c>
      <c r="AB206">
        <v>107</v>
      </c>
    </row>
    <row r="207" spans="26:28" x14ac:dyDescent="0.25">
      <c r="Z207">
        <v>2015</v>
      </c>
      <c r="AA207" t="s">
        <v>204</v>
      </c>
      <c r="AB207">
        <v>198</v>
      </c>
    </row>
    <row r="208" spans="26:28" x14ac:dyDescent="0.25">
      <c r="Z208">
        <v>2015</v>
      </c>
      <c r="AA208" t="s">
        <v>205</v>
      </c>
      <c r="AB208">
        <v>126</v>
      </c>
    </row>
    <row r="209" spans="26:28" x14ac:dyDescent="0.25">
      <c r="Z209">
        <v>2015</v>
      </c>
      <c r="AA209" t="s">
        <v>206</v>
      </c>
      <c r="AB209">
        <v>202</v>
      </c>
    </row>
    <row r="210" spans="26:28" x14ac:dyDescent="0.25">
      <c r="Z210">
        <v>2015</v>
      </c>
      <c r="AA210" t="s">
        <v>207</v>
      </c>
      <c r="AB210">
        <v>220</v>
      </c>
    </row>
    <row r="211" spans="26:28" x14ac:dyDescent="0.25">
      <c r="Z211">
        <v>2019</v>
      </c>
      <c r="AA211" t="s">
        <v>218</v>
      </c>
      <c r="AB211">
        <v>347</v>
      </c>
    </row>
    <row r="212" spans="26:28" x14ac:dyDescent="0.25">
      <c r="Z212">
        <v>2015</v>
      </c>
      <c r="AA212" t="s">
        <v>209</v>
      </c>
      <c r="AB212">
        <v>185</v>
      </c>
    </row>
    <row r="213" spans="26:28" x14ac:dyDescent="0.25">
      <c r="Z213">
        <v>2015</v>
      </c>
      <c r="AA213" t="s">
        <v>210</v>
      </c>
      <c r="AB213">
        <v>261</v>
      </c>
    </row>
    <row r="214" spans="26:28" x14ac:dyDescent="0.25">
      <c r="Z214">
        <v>2015</v>
      </c>
      <c r="AA214" t="s">
        <v>211</v>
      </c>
      <c r="AB214">
        <v>318</v>
      </c>
    </row>
    <row r="215" spans="26:28" x14ac:dyDescent="0.25">
      <c r="Z215">
        <v>2015</v>
      </c>
      <c r="AA215" t="s">
        <v>212</v>
      </c>
      <c r="AB215">
        <v>256</v>
      </c>
    </row>
    <row r="216" spans="26:28" x14ac:dyDescent="0.25">
      <c r="Z216">
        <v>2015</v>
      </c>
      <c r="AA216" t="s">
        <v>213</v>
      </c>
      <c r="AB216">
        <v>346</v>
      </c>
    </row>
    <row r="217" spans="26:28" x14ac:dyDescent="0.25">
      <c r="Z217">
        <v>2015</v>
      </c>
      <c r="AA217" t="s">
        <v>214</v>
      </c>
      <c r="AB217">
        <v>284</v>
      </c>
    </row>
    <row r="218" spans="26:28" x14ac:dyDescent="0.25">
      <c r="Z218">
        <v>2015</v>
      </c>
      <c r="AA218" t="s">
        <v>215</v>
      </c>
      <c r="AB218">
        <v>436</v>
      </c>
    </row>
    <row r="219" spans="26:28" x14ac:dyDescent="0.25">
      <c r="Z219">
        <v>2015</v>
      </c>
      <c r="AA219" t="s">
        <v>216</v>
      </c>
      <c r="AB219">
        <v>520</v>
      </c>
    </row>
    <row r="220" spans="26:28" x14ac:dyDescent="0.25">
      <c r="Z220">
        <v>2015</v>
      </c>
      <c r="AA220" t="s">
        <v>217</v>
      </c>
      <c r="AB220">
        <v>654</v>
      </c>
    </row>
    <row r="221" spans="26:28" x14ac:dyDescent="0.25">
      <c r="Z221">
        <v>2018</v>
      </c>
      <c r="AA221" t="s">
        <v>218</v>
      </c>
      <c r="AB221">
        <v>406</v>
      </c>
    </row>
    <row r="222" spans="26:28" x14ac:dyDescent="0.25">
      <c r="Z222">
        <v>2015</v>
      </c>
      <c r="AA222" t="s">
        <v>219</v>
      </c>
      <c r="AB222">
        <v>490</v>
      </c>
    </row>
    <row r="223" spans="26:28" x14ac:dyDescent="0.25">
      <c r="Z223">
        <v>2015</v>
      </c>
      <c r="AA223" t="s">
        <v>220</v>
      </c>
      <c r="AB223">
        <v>739</v>
      </c>
    </row>
    <row r="224" spans="26:28" x14ac:dyDescent="0.25">
      <c r="Z224">
        <v>2015</v>
      </c>
      <c r="AA224" t="s">
        <v>221</v>
      </c>
      <c r="AB224">
        <v>487</v>
      </c>
    </row>
    <row r="225" spans="26:28" x14ac:dyDescent="0.25">
      <c r="Z225">
        <v>2015</v>
      </c>
      <c r="AA225" t="s">
        <v>222</v>
      </c>
      <c r="AB225">
        <v>670</v>
      </c>
    </row>
    <row r="226" spans="26:28" x14ac:dyDescent="0.25">
      <c r="Z226">
        <v>2015</v>
      </c>
      <c r="AA226" t="s">
        <v>223</v>
      </c>
      <c r="AB226">
        <v>949</v>
      </c>
    </row>
    <row r="227" spans="26:28" x14ac:dyDescent="0.25">
      <c r="Z227">
        <v>2017</v>
      </c>
      <c r="AA227" t="s">
        <v>218</v>
      </c>
      <c r="AB227">
        <v>412</v>
      </c>
    </row>
    <row r="228" spans="26:28" x14ac:dyDescent="0.25">
      <c r="Z228">
        <v>2016</v>
      </c>
      <c r="AA228" t="s">
        <v>218</v>
      </c>
      <c r="AB228">
        <v>445</v>
      </c>
    </row>
    <row r="229" spans="26:28" x14ac:dyDescent="0.25">
      <c r="Z229">
        <v>2015</v>
      </c>
      <c r="AA229" t="s">
        <v>218</v>
      </c>
      <c r="AB229">
        <v>448</v>
      </c>
    </row>
    <row r="230" spans="26:28" x14ac:dyDescent="0.25">
      <c r="Z230">
        <v>2014</v>
      </c>
      <c r="AA230" t="s">
        <v>199</v>
      </c>
      <c r="AB230">
        <v>196</v>
      </c>
    </row>
    <row r="231" spans="26:28" x14ac:dyDescent="0.25">
      <c r="Z231">
        <v>2014</v>
      </c>
      <c r="AA231" t="s">
        <v>200</v>
      </c>
      <c r="AB231">
        <v>138</v>
      </c>
    </row>
    <row r="232" spans="26:28" x14ac:dyDescent="0.25">
      <c r="Z232">
        <v>2014</v>
      </c>
      <c r="AA232" t="s">
        <v>201</v>
      </c>
      <c r="AB232">
        <v>55</v>
      </c>
    </row>
    <row r="233" spans="26:28" x14ac:dyDescent="0.25">
      <c r="Z233">
        <v>2014</v>
      </c>
      <c r="AA233" t="s">
        <v>202</v>
      </c>
      <c r="AB233">
        <v>127</v>
      </c>
    </row>
    <row r="234" spans="26:28" x14ac:dyDescent="0.25">
      <c r="Z234">
        <v>2014</v>
      </c>
      <c r="AA234" t="s">
        <v>203</v>
      </c>
      <c r="AB234">
        <v>92</v>
      </c>
    </row>
    <row r="235" spans="26:28" x14ac:dyDescent="0.25">
      <c r="Z235">
        <v>2014</v>
      </c>
      <c r="AA235" t="s">
        <v>204</v>
      </c>
      <c r="AB235">
        <v>277</v>
      </c>
    </row>
    <row r="236" spans="26:28" x14ac:dyDescent="0.25">
      <c r="Z236">
        <v>2014</v>
      </c>
      <c r="AA236" t="s">
        <v>205</v>
      </c>
      <c r="AB236">
        <v>118</v>
      </c>
    </row>
    <row r="237" spans="26:28" x14ac:dyDescent="0.25">
      <c r="Z237">
        <v>2014</v>
      </c>
      <c r="AA237" t="s">
        <v>206</v>
      </c>
      <c r="AB237">
        <v>171</v>
      </c>
    </row>
    <row r="238" spans="26:28" x14ac:dyDescent="0.25">
      <c r="Z238">
        <v>2014</v>
      </c>
      <c r="AA238" t="s">
        <v>207</v>
      </c>
      <c r="AB238">
        <v>166</v>
      </c>
    </row>
    <row r="239" spans="26:28" x14ac:dyDescent="0.25">
      <c r="Z239">
        <v>2014</v>
      </c>
      <c r="AA239" t="s">
        <v>218</v>
      </c>
      <c r="AB239">
        <v>478</v>
      </c>
    </row>
    <row r="240" spans="26:28" x14ac:dyDescent="0.25">
      <c r="Z240">
        <v>2014</v>
      </c>
      <c r="AA240" t="s">
        <v>209</v>
      </c>
      <c r="AB240">
        <v>178</v>
      </c>
    </row>
    <row r="241" spans="26:28" x14ac:dyDescent="0.25">
      <c r="Z241">
        <v>2014</v>
      </c>
      <c r="AA241" t="s">
        <v>210</v>
      </c>
      <c r="AB241">
        <v>262</v>
      </c>
    </row>
    <row r="242" spans="26:28" x14ac:dyDescent="0.25">
      <c r="Z242">
        <v>2014</v>
      </c>
      <c r="AA242" t="s">
        <v>211</v>
      </c>
      <c r="AB242">
        <v>280</v>
      </c>
    </row>
    <row r="243" spans="26:28" x14ac:dyDescent="0.25">
      <c r="Z243">
        <v>2014</v>
      </c>
      <c r="AA243" t="s">
        <v>212</v>
      </c>
      <c r="AB243">
        <v>218</v>
      </c>
    </row>
    <row r="244" spans="26:28" x14ac:dyDescent="0.25">
      <c r="Z244">
        <v>2014</v>
      </c>
      <c r="AA244" t="s">
        <v>213</v>
      </c>
      <c r="AB244">
        <v>327</v>
      </c>
    </row>
    <row r="245" spans="26:28" x14ac:dyDescent="0.25">
      <c r="Z245">
        <v>2014</v>
      </c>
      <c r="AA245" t="s">
        <v>214</v>
      </c>
      <c r="AB245">
        <v>258</v>
      </c>
    </row>
    <row r="246" spans="26:28" x14ac:dyDescent="0.25">
      <c r="Z246">
        <v>2014</v>
      </c>
      <c r="AA246" t="s">
        <v>215</v>
      </c>
      <c r="AB246">
        <v>450</v>
      </c>
    </row>
    <row r="247" spans="26:28" x14ac:dyDescent="0.25">
      <c r="Z247">
        <v>2014</v>
      </c>
      <c r="AA247" t="s">
        <v>216</v>
      </c>
      <c r="AB247">
        <v>496</v>
      </c>
    </row>
    <row r="248" spans="26:28" x14ac:dyDescent="0.25">
      <c r="Z248">
        <v>2014</v>
      </c>
      <c r="AA248" t="s">
        <v>217</v>
      </c>
      <c r="AB248">
        <v>715</v>
      </c>
    </row>
    <row r="249" spans="26:28" x14ac:dyDescent="0.25">
      <c r="Z249">
        <v>2013</v>
      </c>
      <c r="AA249" t="s">
        <v>218</v>
      </c>
      <c r="AB249">
        <v>488</v>
      </c>
    </row>
    <row r="250" spans="26:28" x14ac:dyDescent="0.25">
      <c r="Z250">
        <v>2014</v>
      </c>
      <c r="AA250" t="s">
        <v>219</v>
      </c>
      <c r="AB250">
        <v>478</v>
      </c>
    </row>
    <row r="251" spans="26:28" x14ac:dyDescent="0.25">
      <c r="Z251">
        <v>2014</v>
      </c>
      <c r="AA251" t="s">
        <v>220</v>
      </c>
      <c r="AB251">
        <v>845</v>
      </c>
    </row>
    <row r="252" spans="26:28" x14ac:dyDescent="0.25">
      <c r="Z252">
        <v>2014</v>
      </c>
      <c r="AA252" t="s">
        <v>221</v>
      </c>
      <c r="AB252">
        <v>478</v>
      </c>
    </row>
    <row r="253" spans="26:28" x14ac:dyDescent="0.25">
      <c r="Z253">
        <v>2014</v>
      </c>
      <c r="AA253" t="s">
        <v>222</v>
      </c>
      <c r="AB253">
        <v>682</v>
      </c>
    </row>
    <row r="254" spans="26:28" x14ac:dyDescent="0.25">
      <c r="Z254">
        <v>2014</v>
      </c>
      <c r="AA254" t="s">
        <v>223</v>
      </c>
      <c r="AB254">
        <v>959</v>
      </c>
    </row>
    <row r="255" spans="26:28" x14ac:dyDescent="0.25">
      <c r="Z255">
        <v>2012</v>
      </c>
      <c r="AA255" t="s">
        <v>218</v>
      </c>
      <c r="AB255">
        <v>495</v>
      </c>
    </row>
    <row r="256" spans="26:28" x14ac:dyDescent="0.25">
      <c r="Z256">
        <v>2011</v>
      </c>
      <c r="AA256" t="s">
        <v>218</v>
      </c>
      <c r="AB256">
        <v>489</v>
      </c>
    </row>
    <row r="257" spans="26:28" x14ac:dyDescent="0.25">
      <c r="Z257">
        <v>2010</v>
      </c>
      <c r="AA257" t="s">
        <v>218</v>
      </c>
      <c r="AB257">
        <v>470</v>
      </c>
    </row>
    <row r="258" spans="26:28" x14ac:dyDescent="0.25">
      <c r="Z258">
        <v>2013</v>
      </c>
      <c r="AA258" t="s">
        <v>199</v>
      </c>
      <c r="AB258">
        <v>185</v>
      </c>
    </row>
    <row r="259" spans="26:28" x14ac:dyDescent="0.25">
      <c r="Z259">
        <v>2013</v>
      </c>
      <c r="AA259" t="s">
        <v>200</v>
      </c>
      <c r="AB259">
        <v>158</v>
      </c>
    </row>
    <row r="260" spans="26:28" x14ac:dyDescent="0.25">
      <c r="Z260">
        <v>2013</v>
      </c>
      <c r="AA260" t="s">
        <v>201</v>
      </c>
      <c r="AB260">
        <v>73</v>
      </c>
    </row>
    <row r="261" spans="26:28" x14ac:dyDescent="0.25">
      <c r="Z261">
        <v>2013</v>
      </c>
      <c r="AA261" t="s">
        <v>202</v>
      </c>
      <c r="AB261">
        <v>127</v>
      </c>
    </row>
    <row r="262" spans="26:28" x14ac:dyDescent="0.25">
      <c r="Z262">
        <v>2013</v>
      </c>
      <c r="AA262" t="s">
        <v>203</v>
      </c>
      <c r="AB262">
        <v>106</v>
      </c>
    </row>
    <row r="263" spans="26:28" x14ac:dyDescent="0.25">
      <c r="Z263">
        <v>2013</v>
      </c>
      <c r="AA263" t="s">
        <v>204</v>
      </c>
      <c r="AB263">
        <v>317</v>
      </c>
    </row>
    <row r="264" spans="26:28" x14ac:dyDescent="0.25">
      <c r="Z264">
        <v>2013</v>
      </c>
      <c r="AA264" t="s">
        <v>205</v>
      </c>
      <c r="AB264">
        <v>131</v>
      </c>
    </row>
    <row r="265" spans="26:28" x14ac:dyDescent="0.25">
      <c r="Z265">
        <v>2013</v>
      </c>
      <c r="AA265" t="s">
        <v>206</v>
      </c>
      <c r="AB265">
        <v>197</v>
      </c>
    </row>
    <row r="266" spans="26:28" x14ac:dyDescent="0.25">
      <c r="Z266">
        <v>2013</v>
      </c>
      <c r="AA266" t="s">
        <v>207</v>
      </c>
      <c r="AB266">
        <v>184</v>
      </c>
    </row>
    <row r="267" spans="26:28" x14ac:dyDescent="0.25">
      <c r="Z267">
        <v>2009</v>
      </c>
      <c r="AA267" t="s">
        <v>218</v>
      </c>
      <c r="AB267">
        <v>486</v>
      </c>
    </row>
    <row r="268" spans="26:28" x14ac:dyDescent="0.25">
      <c r="Z268">
        <v>2013</v>
      </c>
      <c r="AA268" t="s">
        <v>209</v>
      </c>
      <c r="AB268">
        <v>183</v>
      </c>
    </row>
    <row r="269" spans="26:28" x14ac:dyDescent="0.25">
      <c r="Z269">
        <v>2013</v>
      </c>
      <c r="AA269" t="s">
        <v>210</v>
      </c>
      <c r="AB269">
        <v>279</v>
      </c>
    </row>
    <row r="270" spans="26:28" x14ac:dyDescent="0.25">
      <c r="Z270">
        <v>2013</v>
      </c>
      <c r="AA270" t="s">
        <v>211</v>
      </c>
      <c r="AB270">
        <v>270</v>
      </c>
    </row>
    <row r="271" spans="26:28" x14ac:dyDescent="0.25">
      <c r="Z271">
        <v>2013</v>
      </c>
      <c r="AA271" t="s">
        <v>212</v>
      </c>
      <c r="AB271">
        <v>307</v>
      </c>
    </row>
    <row r="272" spans="26:28" x14ac:dyDescent="0.25">
      <c r="Z272">
        <v>2013</v>
      </c>
      <c r="AA272" t="s">
        <v>213</v>
      </c>
      <c r="AB272">
        <v>366</v>
      </c>
    </row>
    <row r="273" spans="26:28" x14ac:dyDescent="0.25">
      <c r="Z273">
        <v>2013</v>
      </c>
      <c r="AA273" t="s">
        <v>214</v>
      </c>
      <c r="AB273">
        <v>273</v>
      </c>
    </row>
    <row r="274" spans="26:28" x14ac:dyDescent="0.25">
      <c r="Z274">
        <v>2013</v>
      </c>
      <c r="AA274" t="s">
        <v>215</v>
      </c>
      <c r="AB274">
        <v>460</v>
      </c>
    </row>
    <row r="275" spans="26:28" x14ac:dyDescent="0.25">
      <c r="Z275">
        <v>2013</v>
      </c>
      <c r="AA275" t="s">
        <v>216</v>
      </c>
      <c r="AB275">
        <v>461</v>
      </c>
    </row>
    <row r="276" spans="26:28" x14ac:dyDescent="0.25">
      <c r="Z276">
        <v>2013</v>
      </c>
      <c r="AA276" t="s">
        <v>217</v>
      </c>
      <c r="AB276">
        <v>731</v>
      </c>
    </row>
    <row r="277" spans="26:28" x14ac:dyDescent="0.25">
      <c r="Z277">
        <v>2008</v>
      </c>
      <c r="AA277" t="s">
        <v>218</v>
      </c>
      <c r="AB277">
        <v>490</v>
      </c>
    </row>
    <row r="278" spans="26:28" x14ac:dyDescent="0.25">
      <c r="Z278">
        <v>2013</v>
      </c>
      <c r="AA278" t="s">
        <v>219</v>
      </c>
      <c r="AB278">
        <v>475</v>
      </c>
    </row>
    <row r="279" spans="26:28" x14ac:dyDescent="0.25">
      <c r="Z279">
        <v>2013</v>
      </c>
      <c r="AA279" t="s">
        <v>220</v>
      </c>
      <c r="AB279">
        <v>807</v>
      </c>
    </row>
    <row r="280" spans="26:28" x14ac:dyDescent="0.25">
      <c r="Z280">
        <v>2013</v>
      </c>
      <c r="AA280" t="s">
        <v>221</v>
      </c>
      <c r="AB280">
        <v>485</v>
      </c>
    </row>
    <row r="281" spans="26:28" x14ac:dyDescent="0.25">
      <c r="Z281">
        <v>2013</v>
      </c>
      <c r="AA281" t="s">
        <v>222</v>
      </c>
      <c r="AB281">
        <v>666</v>
      </c>
    </row>
    <row r="282" spans="26:28" x14ac:dyDescent="0.25">
      <c r="Z282">
        <v>2013</v>
      </c>
      <c r="AA282" t="s">
        <v>223</v>
      </c>
      <c r="AB282">
        <v>953</v>
      </c>
    </row>
    <row r="283" spans="26:28" x14ac:dyDescent="0.25">
      <c r="Z283">
        <v>2007</v>
      </c>
      <c r="AA283" t="s">
        <v>218</v>
      </c>
      <c r="AB283">
        <v>520</v>
      </c>
    </row>
    <row r="284" spans="26:28" x14ac:dyDescent="0.25">
      <c r="Z284">
        <v>2006</v>
      </c>
      <c r="AA284" t="s">
        <v>218</v>
      </c>
      <c r="AB284">
        <v>503</v>
      </c>
    </row>
    <row r="285" spans="26:28" x14ac:dyDescent="0.25">
      <c r="Z285">
        <v>2005</v>
      </c>
      <c r="AA285" t="s">
        <v>218</v>
      </c>
      <c r="AB285">
        <v>509</v>
      </c>
    </row>
    <row r="286" spans="26:28" x14ac:dyDescent="0.25">
      <c r="Z286">
        <v>2012</v>
      </c>
      <c r="AA286" t="s">
        <v>199</v>
      </c>
      <c r="AB286">
        <v>234</v>
      </c>
    </row>
    <row r="287" spans="26:28" x14ac:dyDescent="0.25">
      <c r="Z287">
        <v>2012</v>
      </c>
      <c r="AA287" t="s">
        <v>200</v>
      </c>
      <c r="AB287">
        <v>124</v>
      </c>
    </row>
    <row r="288" spans="26:28" x14ac:dyDescent="0.25">
      <c r="Z288">
        <v>2012</v>
      </c>
      <c r="AA288" t="s">
        <v>201</v>
      </c>
      <c r="AB288">
        <v>77</v>
      </c>
    </row>
    <row r="289" spans="26:28" x14ac:dyDescent="0.25">
      <c r="Z289">
        <v>2012</v>
      </c>
      <c r="AA289" t="s">
        <v>202</v>
      </c>
      <c r="AB289">
        <v>90</v>
      </c>
    </row>
    <row r="290" spans="26:28" x14ac:dyDescent="0.25">
      <c r="Z290">
        <v>2012</v>
      </c>
      <c r="AA290" t="s">
        <v>203</v>
      </c>
      <c r="AB290">
        <v>116</v>
      </c>
    </row>
    <row r="291" spans="26:28" x14ac:dyDescent="0.25">
      <c r="Z291">
        <v>2012</v>
      </c>
      <c r="AA291" t="s">
        <v>204</v>
      </c>
      <c r="AB291">
        <v>284</v>
      </c>
    </row>
    <row r="292" spans="26:28" x14ac:dyDescent="0.25">
      <c r="Z292">
        <v>2012</v>
      </c>
      <c r="AA292" t="s">
        <v>205</v>
      </c>
      <c r="AB292">
        <v>150</v>
      </c>
    </row>
    <row r="293" spans="26:28" x14ac:dyDescent="0.25">
      <c r="Z293">
        <v>2012</v>
      </c>
      <c r="AA293" t="s">
        <v>206</v>
      </c>
      <c r="AB293">
        <v>280</v>
      </c>
    </row>
    <row r="294" spans="26:28" x14ac:dyDescent="0.25">
      <c r="Z294">
        <v>2012</v>
      </c>
      <c r="AA294" t="s">
        <v>207</v>
      </c>
      <c r="AB294">
        <v>199</v>
      </c>
    </row>
    <row r="295" spans="26:28" x14ac:dyDescent="0.25">
      <c r="Z295">
        <v>2004</v>
      </c>
      <c r="AA295" t="s">
        <v>218</v>
      </c>
      <c r="AB295">
        <v>527</v>
      </c>
    </row>
    <row r="296" spans="26:28" x14ac:dyDescent="0.25">
      <c r="Z296">
        <v>2012</v>
      </c>
      <c r="AA296" t="s">
        <v>209</v>
      </c>
      <c r="AB296">
        <v>252</v>
      </c>
    </row>
    <row r="297" spans="26:28" x14ac:dyDescent="0.25">
      <c r="Z297">
        <v>2012</v>
      </c>
      <c r="AA297" t="s">
        <v>210</v>
      </c>
      <c r="AB297">
        <v>319</v>
      </c>
    </row>
    <row r="298" spans="26:28" x14ac:dyDescent="0.25">
      <c r="Z298">
        <v>2012</v>
      </c>
      <c r="AA298" t="s">
        <v>211</v>
      </c>
      <c r="AB298">
        <v>333</v>
      </c>
    </row>
    <row r="299" spans="26:28" x14ac:dyDescent="0.25">
      <c r="Z299">
        <v>2012</v>
      </c>
      <c r="AA299" t="s">
        <v>212</v>
      </c>
      <c r="AB299">
        <v>331</v>
      </c>
    </row>
    <row r="300" spans="26:28" x14ac:dyDescent="0.25">
      <c r="Z300">
        <v>2012</v>
      </c>
      <c r="AA300" t="s">
        <v>213</v>
      </c>
      <c r="AB300">
        <v>460</v>
      </c>
    </row>
    <row r="301" spans="26:28" x14ac:dyDescent="0.25">
      <c r="Z301">
        <v>2012</v>
      </c>
      <c r="AA301" t="s">
        <v>214</v>
      </c>
      <c r="AB301">
        <v>313</v>
      </c>
    </row>
    <row r="302" spans="26:28" x14ac:dyDescent="0.25">
      <c r="Z302">
        <v>2012</v>
      </c>
      <c r="AA302" t="s">
        <v>215</v>
      </c>
      <c r="AB302">
        <v>487</v>
      </c>
    </row>
    <row r="303" spans="26:28" x14ac:dyDescent="0.25">
      <c r="Z303">
        <v>2012</v>
      </c>
      <c r="AA303" t="s">
        <v>216</v>
      </c>
      <c r="AB303">
        <v>447</v>
      </c>
    </row>
    <row r="304" spans="26:28" x14ac:dyDescent="0.25">
      <c r="Z304">
        <v>2012</v>
      </c>
      <c r="AA304" t="s">
        <v>217</v>
      </c>
      <c r="AB304">
        <v>883</v>
      </c>
    </row>
    <row r="305" spans="26:28" x14ac:dyDescent="0.25">
      <c r="Z305">
        <v>2003</v>
      </c>
      <c r="AA305" t="s">
        <v>218</v>
      </c>
      <c r="AB305">
        <v>543</v>
      </c>
    </row>
    <row r="306" spans="26:28" x14ac:dyDescent="0.25">
      <c r="Z306">
        <v>2012</v>
      </c>
      <c r="AA306" t="s">
        <v>219</v>
      </c>
      <c r="AB306">
        <v>507</v>
      </c>
    </row>
    <row r="307" spans="26:28" x14ac:dyDescent="0.25">
      <c r="Z307">
        <v>2012</v>
      </c>
      <c r="AA307" t="s">
        <v>220</v>
      </c>
      <c r="AB307">
        <v>869</v>
      </c>
    </row>
    <row r="308" spans="26:28" x14ac:dyDescent="0.25">
      <c r="Z308">
        <v>2012</v>
      </c>
      <c r="AA308" t="s">
        <v>221</v>
      </c>
      <c r="AB308">
        <v>528</v>
      </c>
    </row>
    <row r="309" spans="26:28" x14ac:dyDescent="0.25">
      <c r="Z309">
        <v>2012</v>
      </c>
      <c r="AA309" t="s">
        <v>222</v>
      </c>
      <c r="AB309">
        <v>757</v>
      </c>
    </row>
    <row r="310" spans="26:28" x14ac:dyDescent="0.25">
      <c r="Z310">
        <v>2012</v>
      </c>
      <c r="AA310" t="s">
        <v>223</v>
      </c>
      <c r="AB310">
        <v>907</v>
      </c>
    </row>
    <row r="311" spans="26:28" x14ac:dyDescent="0.25">
      <c r="Z311">
        <v>2002</v>
      </c>
      <c r="AA311" t="s">
        <v>218</v>
      </c>
      <c r="AB311">
        <v>557</v>
      </c>
    </row>
    <row r="312" spans="26:28" x14ac:dyDescent="0.25">
      <c r="Z312">
        <v>2001</v>
      </c>
      <c r="AA312" t="s">
        <v>218</v>
      </c>
      <c r="AB312">
        <v>566</v>
      </c>
    </row>
    <row r="313" spans="26:28" x14ac:dyDescent="0.25">
      <c r="Z313">
        <v>2000</v>
      </c>
      <c r="AA313" t="s">
        <v>218</v>
      </c>
      <c r="AB313">
        <v>551</v>
      </c>
    </row>
    <row r="314" spans="26:28" x14ac:dyDescent="0.25">
      <c r="Z314">
        <v>2011</v>
      </c>
      <c r="AA314" t="s">
        <v>199</v>
      </c>
      <c r="AB314">
        <v>231</v>
      </c>
    </row>
    <row r="315" spans="26:28" x14ac:dyDescent="0.25">
      <c r="Z315">
        <v>2011</v>
      </c>
      <c r="AA315" t="s">
        <v>200</v>
      </c>
      <c r="AB315">
        <v>173</v>
      </c>
    </row>
    <row r="316" spans="26:28" x14ac:dyDescent="0.25">
      <c r="Z316">
        <v>2011</v>
      </c>
      <c r="AA316" t="s">
        <v>201</v>
      </c>
      <c r="AB316">
        <v>70</v>
      </c>
    </row>
    <row r="317" spans="26:28" x14ac:dyDescent="0.25">
      <c r="Z317">
        <v>2011</v>
      </c>
      <c r="AA317" t="s">
        <v>202</v>
      </c>
      <c r="AB317">
        <v>131</v>
      </c>
    </row>
    <row r="318" spans="26:28" x14ac:dyDescent="0.25">
      <c r="Z318">
        <v>2011</v>
      </c>
      <c r="AA318" t="s">
        <v>203</v>
      </c>
      <c r="AB318">
        <v>160</v>
      </c>
    </row>
    <row r="319" spans="26:28" x14ac:dyDescent="0.25">
      <c r="Z319">
        <v>2011</v>
      </c>
      <c r="AA319" t="s">
        <v>204</v>
      </c>
      <c r="AB319">
        <v>336</v>
      </c>
    </row>
    <row r="320" spans="26:28" x14ac:dyDescent="0.25">
      <c r="Z320">
        <v>2011</v>
      </c>
      <c r="AA320" t="s">
        <v>205</v>
      </c>
      <c r="AB320">
        <v>152</v>
      </c>
    </row>
    <row r="321" spans="26:28" x14ac:dyDescent="0.25">
      <c r="Z321">
        <v>2011</v>
      </c>
      <c r="AA321" t="s">
        <v>206</v>
      </c>
      <c r="AB321">
        <v>295</v>
      </c>
    </row>
    <row r="322" spans="26:28" x14ac:dyDescent="0.25">
      <c r="Z322">
        <v>2011</v>
      </c>
      <c r="AA322" t="s">
        <v>207</v>
      </c>
      <c r="AB322">
        <v>186</v>
      </c>
    </row>
    <row r="323" spans="26:28" x14ac:dyDescent="0.25">
      <c r="Z323">
        <v>1999</v>
      </c>
      <c r="AA323" t="s">
        <v>218</v>
      </c>
      <c r="AB323">
        <v>550</v>
      </c>
    </row>
    <row r="324" spans="26:28" x14ac:dyDescent="0.25">
      <c r="Z324">
        <v>2011</v>
      </c>
      <c r="AA324" t="s">
        <v>209</v>
      </c>
      <c r="AB324">
        <v>240</v>
      </c>
    </row>
    <row r="325" spans="26:28" x14ac:dyDescent="0.25">
      <c r="Z325">
        <v>2011</v>
      </c>
      <c r="AA325" t="s">
        <v>210</v>
      </c>
      <c r="AB325">
        <v>314</v>
      </c>
    </row>
    <row r="326" spans="26:28" x14ac:dyDescent="0.25">
      <c r="Z326">
        <v>2011</v>
      </c>
      <c r="AA326" t="s">
        <v>211</v>
      </c>
      <c r="AB326">
        <v>319</v>
      </c>
    </row>
    <row r="327" spans="26:28" x14ac:dyDescent="0.25">
      <c r="Z327">
        <v>2011</v>
      </c>
      <c r="AA327" t="s">
        <v>212</v>
      </c>
      <c r="AB327">
        <v>343</v>
      </c>
    </row>
    <row r="328" spans="26:28" x14ac:dyDescent="0.25">
      <c r="Z328">
        <v>2011</v>
      </c>
      <c r="AA328" t="s">
        <v>213</v>
      </c>
      <c r="AB328">
        <v>455</v>
      </c>
    </row>
    <row r="329" spans="26:28" x14ac:dyDescent="0.25">
      <c r="Z329">
        <v>2011</v>
      </c>
      <c r="AA329" t="s">
        <v>214</v>
      </c>
      <c r="AB329">
        <v>328</v>
      </c>
    </row>
    <row r="330" spans="26:28" x14ac:dyDescent="0.25">
      <c r="Z330">
        <v>2011</v>
      </c>
      <c r="AA330" t="s">
        <v>215</v>
      </c>
      <c r="AB330">
        <v>455</v>
      </c>
    </row>
    <row r="331" spans="26:28" x14ac:dyDescent="0.25">
      <c r="Z331">
        <v>2011</v>
      </c>
      <c r="AA331" t="s">
        <v>216</v>
      </c>
      <c r="AB331">
        <v>429</v>
      </c>
    </row>
    <row r="332" spans="26:28" x14ac:dyDescent="0.25">
      <c r="Z332">
        <v>2011</v>
      </c>
      <c r="AA332" t="s">
        <v>217</v>
      </c>
      <c r="AB332">
        <v>878</v>
      </c>
    </row>
    <row r="333" spans="26:28" x14ac:dyDescent="0.25">
      <c r="Z333">
        <v>1998</v>
      </c>
      <c r="AA333" t="s">
        <v>218</v>
      </c>
      <c r="AB333">
        <v>569</v>
      </c>
    </row>
    <row r="334" spans="26:28" x14ac:dyDescent="0.25">
      <c r="Z334">
        <v>2011</v>
      </c>
      <c r="AA334" t="s">
        <v>219</v>
      </c>
      <c r="AB334">
        <v>547</v>
      </c>
    </row>
    <row r="335" spans="26:28" x14ac:dyDescent="0.25">
      <c r="Z335">
        <v>2011</v>
      </c>
      <c r="AA335" t="s">
        <v>220</v>
      </c>
      <c r="AB335">
        <v>883</v>
      </c>
    </row>
    <row r="336" spans="26:28" x14ac:dyDescent="0.25">
      <c r="Z336">
        <v>2011</v>
      </c>
      <c r="AA336" t="s">
        <v>221</v>
      </c>
      <c r="AB336">
        <v>586</v>
      </c>
    </row>
    <row r="337" spans="26:28" x14ac:dyDescent="0.25">
      <c r="Z337">
        <v>2011</v>
      </c>
      <c r="AA337" t="s">
        <v>222</v>
      </c>
      <c r="AB337">
        <v>759</v>
      </c>
    </row>
    <row r="338" spans="26:28" x14ac:dyDescent="0.25">
      <c r="Z338">
        <v>2011</v>
      </c>
      <c r="AA338" t="s">
        <v>223</v>
      </c>
      <c r="AB338">
        <v>965</v>
      </c>
    </row>
    <row r="339" spans="26:28" x14ac:dyDescent="0.25">
      <c r="Z339">
        <v>1997</v>
      </c>
      <c r="AA339" t="s">
        <v>218</v>
      </c>
      <c r="AB339">
        <v>566</v>
      </c>
    </row>
    <row r="340" spans="26:28" x14ac:dyDescent="0.25">
      <c r="Z340">
        <v>1996</v>
      </c>
      <c r="AA340" t="s">
        <v>218</v>
      </c>
      <c r="AB340">
        <v>580</v>
      </c>
    </row>
    <row r="341" spans="26:28" x14ac:dyDescent="0.25">
      <c r="Z341">
        <v>1995</v>
      </c>
      <c r="AA341" t="s">
        <v>218</v>
      </c>
      <c r="AB341">
        <v>594</v>
      </c>
    </row>
    <row r="342" spans="26:28" x14ac:dyDescent="0.25">
      <c r="Z342">
        <v>2010</v>
      </c>
      <c r="AA342" t="s">
        <v>199</v>
      </c>
      <c r="AB342">
        <v>228</v>
      </c>
    </row>
    <row r="343" spans="26:28" x14ac:dyDescent="0.25">
      <c r="Z343">
        <v>2010</v>
      </c>
      <c r="AA343" t="s">
        <v>200</v>
      </c>
      <c r="AB343">
        <v>214</v>
      </c>
    </row>
    <row r="344" spans="26:28" x14ac:dyDescent="0.25">
      <c r="Z344">
        <v>2010</v>
      </c>
      <c r="AA344" t="s">
        <v>201</v>
      </c>
      <c r="AB344">
        <v>78</v>
      </c>
    </row>
    <row r="345" spans="26:28" x14ac:dyDescent="0.25">
      <c r="Z345">
        <v>2010</v>
      </c>
      <c r="AA345" t="s">
        <v>202</v>
      </c>
      <c r="AB345">
        <v>121</v>
      </c>
    </row>
    <row r="346" spans="26:28" x14ac:dyDescent="0.25">
      <c r="Z346">
        <v>2010</v>
      </c>
      <c r="AA346" t="s">
        <v>203</v>
      </c>
      <c r="AB346">
        <v>153</v>
      </c>
    </row>
    <row r="347" spans="26:28" x14ac:dyDescent="0.25">
      <c r="Z347">
        <v>2010</v>
      </c>
      <c r="AA347" t="s">
        <v>204</v>
      </c>
      <c r="AB347">
        <v>373</v>
      </c>
    </row>
    <row r="348" spans="26:28" x14ac:dyDescent="0.25">
      <c r="Z348">
        <v>2010</v>
      </c>
      <c r="AA348" t="s">
        <v>205</v>
      </c>
      <c r="AB348">
        <v>141</v>
      </c>
    </row>
    <row r="349" spans="26:28" x14ac:dyDescent="0.25">
      <c r="Z349">
        <v>2010</v>
      </c>
      <c r="AA349" t="s">
        <v>206</v>
      </c>
      <c r="AB349">
        <v>209</v>
      </c>
    </row>
    <row r="350" spans="26:28" x14ac:dyDescent="0.25">
      <c r="Z350">
        <v>2010</v>
      </c>
      <c r="AA350" t="s">
        <v>207</v>
      </c>
      <c r="AB350">
        <v>209</v>
      </c>
    </row>
    <row r="351" spans="26:28" x14ac:dyDescent="0.25">
      <c r="Z351">
        <v>1994</v>
      </c>
      <c r="AA351" t="s">
        <v>218</v>
      </c>
      <c r="AB351">
        <v>616</v>
      </c>
    </row>
    <row r="352" spans="26:28" x14ac:dyDescent="0.25">
      <c r="Z352">
        <v>2010</v>
      </c>
      <c r="AA352" t="s">
        <v>209</v>
      </c>
      <c r="AB352">
        <v>308</v>
      </c>
    </row>
    <row r="353" spans="26:28" x14ac:dyDescent="0.25">
      <c r="Z353">
        <v>2010</v>
      </c>
      <c r="AA353" t="s">
        <v>210</v>
      </c>
      <c r="AB353">
        <v>306</v>
      </c>
    </row>
    <row r="354" spans="26:28" x14ac:dyDescent="0.25">
      <c r="Z354">
        <v>2010</v>
      </c>
      <c r="AA354" t="s">
        <v>211</v>
      </c>
      <c r="AB354">
        <v>257</v>
      </c>
    </row>
    <row r="355" spans="26:28" x14ac:dyDescent="0.25">
      <c r="Z355">
        <v>2010</v>
      </c>
      <c r="AA355" t="s">
        <v>212</v>
      </c>
      <c r="AB355">
        <v>334</v>
      </c>
    </row>
    <row r="356" spans="26:28" x14ac:dyDescent="0.25">
      <c r="Z356">
        <v>2010</v>
      </c>
      <c r="AA356" t="s">
        <v>213</v>
      </c>
      <c r="AB356">
        <v>372</v>
      </c>
    </row>
    <row r="357" spans="26:28" x14ac:dyDescent="0.25">
      <c r="Z357">
        <v>2010</v>
      </c>
      <c r="AA357" t="s">
        <v>214</v>
      </c>
      <c r="AB357">
        <v>339</v>
      </c>
    </row>
    <row r="358" spans="26:28" x14ac:dyDescent="0.25">
      <c r="Z358">
        <v>2010</v>
      </c>
      <c r="AA358" t="s">
        <v>215</v>
      </c>
      <c r="AB358">
        <v>484</v>
      </c>
    </row>
    <row r="359" spans="26:28" x14ac:dyDescent="0.25">
      <c r="Z359">
        <v>2010</v>
      </c>
      <c r="AA359" t="s">
        <v>216</v>
      </c>
      <c r="AB359">
        <v>442</v>
      </c>
    </row>
    <row r="360" spans="26:28" x14ac:dyDescent="0.25">
      <c r="Z360">
        <v>2010</v>
      </c>
      <c r="AA360" t="s">
        <v>217</v>
      </c>
      <c r="AB360">
        <v>884</v>
      </c>
    </row>
    <row r="361" spans="26:28" x14ac:dyDescent="0.25">
      <c r="Z361">
        <v>1993</v>
      </c>
      <c r="AA361" t="s">
        <v>218</v>
      </c>
      <c r="AB361">
        <v>620</v>
      </c>
    </row>
    <row r="362" spans="26:28" x14ac:dyDescent="0.25">
      <c r="Z362">
        <v>2010</v>
      </c>
      <c r="AA362" t="s">
        <v>219</v>
      </c>
      <c r="AB362">
        <v>553</v>
      </c>
    </row>
    <row r="363" spans="26:28" x14ac:dyDescent="0.25">
      <c r="Z363">
        <v>2010</v>
      </c>
      <c r="AA363" t="s">
        <v>220</v>
      </c>
      <c r="AB363">
        <v>875</v>
      </c>
    </row>
    <row r="364" spans="26:28" x14ac:dyDescent="0.25">
      <c r="Z364">
        <v>2010</v>
      </c>
      <c r="AA364" t="s">
        <v>221</v>
      </c>
      <c r="AB364">
        <v>533</v>
      </c>
    </row>
    <row r="365" spans="26:28" x14ac:dyDescent="0.25">
      <c r="Z365">
        <v>2010</v>
      </c>
      <c r="AA365" t="s">
        <v>222</v>
      </c>
      <c r="AB365">
        <v>735</v>
      </c>
    </row>
    <row r="366" spans="26:28" x14ac:dyDescent="0.25">
      <c r="Z366">
        <v>2010</v>
      </c>
      <c r="AA366" t="s">
        <v>223</v>
      </c>
      <c r="AB366">
        <v>956</v>
      </c>
    </row>
    <row r="367" spans="26:28" x14ac:dyDescent="0.25">
      <c r="Z367">
        <v>1992</v>
      </c>
      <c r="AA367" t="s">
        <v>218</v>
      </c>
      <c r="AB367">
        <v>628</v>
      </c>
    </row>
    <row r="368" spans="26:28" x14ac:dyDescent="0.25">
      <c r="Z368">
        <v>1991</v>
      </c>
      <c r="AA368" t="s">
        <v>218</v>
      </c>
      <c r="AB368">
        <v>656</v>
      </c>
    </row>
    <row r="369" spans="26:28" x14ac:dyDescent="0.25">
      <c r="Z369">
        <v>1990</v>
      </c>
      <c r="AA369" t="s">
        <v>218</v>
      </c>
      <c r="AB369">
        <v>652</v>
      </c>
    </row>
    <row r="370" spans="26:28" x14ac:dyDescent="0.25">
      <c r="Z370">
        <v>2009</v>
      </c>
      <c r="AA370" t="s">
        <v>199</v>
      </c>
      <c r="AB370">
        <v>275</v>
      </c>
    </row>
    <row r="371" spans="26:28" x14ac:dyDescent="0.25">
      <c r="Z371">
        <v>2009</v>
      </c>
      <c r="AA371" t="s">
        <v>200</v>
      </c>
      <c r="AB371">
        <v>175</v>
      </c>
    </row>
    <row r="372" spans="26:28" x14ac:dyDescent="0.25">
      <c r="Z372">
        <v>2009</v>
      </c>
      <c r="AA372" t="s">
        <v>201</v>
      </c>
      <c r="AB372">
        <v>79</v>
      </c>
    </row>
    <row r="373" spans="26:28" x14ac:dyDescent="0.25">
      <c r="Z373">
        <v>2009</v>
      </c>
      <c r="AA373" t="s">
        <v>202</v>
      </c>
      <c r="AB373">
        <v>97</v>
      </c>
    </row>
    <row r="374" spans="26:28" x14ac:dyDescent="0.25">
      <c r="Z374">
        <v>2009</v>
      </c>
      <c r="AA374" t="s">
        <v>203</v>
      </c>
      <c r="AB374">
        <v>130</v>
      </c>
    </row>
    <row r="375" spans="26:28" x14ac:dyDescent="0.25">
      <c r="Z375">
        <v>2009</v>
      </c>
      <c r="AA375" t="s">
        <v>204</v>
      </c>
      <c r="AB375">
        <v>418</v>
      </c>
    </row>
    <row r="376" spans="26:28" x14ac:dyDescent="0.25">
      <c r="Z376">
        <v>2009</v>
      </c>
      <c r="AA376" t="s">
        <v>205</v>
      </c>
      <c r="AB376">
        <v>167</v>
      </c>
    </row>
    <row r="377" spans="26:28" x14ac:dyDescent="0.25">
      <c r="Z377">
        <v>2009</v>
      </c>
      <c r="AA377" t="s">
        <v>206</v>
      </c>
      <c r="AB377">
        <v>263</v>
      </c>
    </row>
    <row r="378" spans="26:28" x14ac:dyDescent="0.25">
      <c r="Z378">
        <v>2009</v>
      </c>
      <c r="AA378" t="s">
        <v>207</v>
      </c>
      <c r="AB378">
        <v>211</v>
      </c>
    </row>
    <row r="379" spans="26:28" x14ac:dyDescent="0.25">
      <c r="Z379">
        <v>2022</v>
      </c>
      <c r="AA379" t="s">
        <v>224</v>
      </c>
      <c r="AB379">
        <v>666</v>
      </c>
    </row>
    <row r="380" spans="26:28" x14ac:dyDescent="0.25">
      <c r="Z380">
        <v>2009</v>
      </c>
      <c r="AA380" t="s">
        <v>209</v>
      </c>
      <c r="AB380">
        <v>78</v>
      </c>
    </row>
    <row r="381" spans="26:28" x14ac:dyDescent="0.25">
      <c r="Z381">
        <v>2009</v>
      </c>
      <c r="AA381" t="s">
        <v>210</v>
      </c>
      <c r="AB381">
        <v>310</v>
      </c>
    </row>
    <row r="382" spans="26:28" x14ac:dyDescent="0.25">
      <c r="Z382">
        <v>2009</v>
      </c>
      <c r="AA382" t="s">
        <v>211</v>
      </c>
      <c r="AB382">
        <v>317</v>
      </c>
    </row>
    <row r="383" spans="26:28" x14ac:dyDescent="0.25">
      <c r="Z383">
        <v>2009</v>
      </c>
      <c r="AA383" t="s">
        <v>212</v>
      </c>
      <c r="AB383">
        <v>329</v>
      </c>
    </row>
    <row r="384" spans="26:28" x14ac:dyDescent="0.25">
      <c r="Z384">
        <v>2009</v>
      </c>
      <c r="AA384" t="s">
        <v>213</v>
      </c>
      <c r="AB384">
        <v>450</v>
      </c>
    </row>
    <row r="385" spans="26:28" x14ac:dyDescent="0.25">
      <c r="Z385">
        <v>2009</v>
      </c>
      <c r="AA385" t="s">
        <v>214</v>
      </c>
      <c r="AB385">
        <v>355</v>
      </c>
    </row>
    <row r="386" spans="26:28" x14ac:dyDescent="0.25">
      <c r="Z386">
        <v>2009</v>
      </c>
      <c r="AA386" t="s">
        <v>215</v>
      </c>
      <c r="AB386">
        <v>474</v>
      </c>
    </row>
    <row r="387" spans="26:28" x14ac:dyDescent="0.25">
      <c r="Z387">
        <v>2009</v>
      </c>
      <c r="AA387" t="s">
        <v>216</v>
      </c>
      <c r="AB387">
        <v>447</v>
      </c>
    </row>
    <row r="388" spans="26:28" x14ac:dyDescent="0.25">
      <c r="Z388">
        <v>2009</v>
      </c>
      <c r="AA388" t="s">
        <v>217</v>
      </c>
      <c r="AB388">
        <v>863</v>
      </c>
    </row>
    <row r="389" spans="26:28" x14ac:dyDescent="0.25">
      <c r="Z389">
        <v>2021</v>
      </c>
      <c r="AA389" t="s">
        <v>224</v>
      </c>
      <c r="AB389">
        <v>709</v>
      </c>
    </row>
    <row r="390" spans="26:28" x14ac:dyDescent="0.25">
      <c r="Z390">
        <v>2009</v>
      </c>
      <c r="AA390" t="s">
        <v>219</v>
      </c>
      <c r="AB390">
        <v>567</v>
      </c>
    </row>
    <row r="391" spans="26:28" x14ac:dyDescent="0.25">
      <c r="Z391">
        <v>2009</v>
      </c>
      <c r="AA391" t="s">
        <v>220</v>
      </c>
      <c r="AB391">
        <v>854</v>
      </c>
    </row>
    <row r="392" spans="26:28" x14ac:dyDescent="0.25">
      <c r="Z392">
        <v>2009</v>
      </c>
      <c r="AA392" t="s">
        <v>221</v>
      </c>
      <c r="AB392">
        <v>532</v>
      </c>
    </row>
    <row r="393" spans="26:28" x14ac:dyDescent="0.25">
      <c r="Z393">
        <v>2009</v>
      </c>
      <c r="AA393" t="s">
        <v>222</v>
      </c>
      <c r="AB393">
        <v>776</v>
      </c>
    </row>
    <row r="394" spans="26:28" x14ac:dyDescent="0.25">
      <c r="Z394">
        <v>2009</v>
      </c>
      <c r="AA394" t="s">
        <v>223</v>
      </c>
      <c r="AB394">
        <v>956</v>
      </c>
    </row>
    <row r="395" spans="26:28" x14ac:dyDescent="0.25">
      <c r="Z395">
        <v>2020</v>
      </c>
      <c r="AA395" t="s">
        <v>224</v>
      </c>
      <c r="AB395">
        <v>696</v>
      </c>
    </row>
    <row r="396" spans="26:28" x14ac:dyDescent="0.25">
      <c r="Z396">
        <v>2019</v>
      </c>
      <c r="AA396" t="s">
        <v>224</v>
      </c>
      <c r="AB396">
        <v>730</v>
      </c>
    </row>
    <row r="397" spans="26:28" x14ac:dyDescent="0.25">
      <c r="Z397">
        <v>2018</v>
      </c>
      <c r="AA397" t="s">
        <v>224</v>
      </c>
      <c r="AB397">
        <v>769</v>
      </c>
    </row>
    <row r="398" spans="26:28" x14ac:dyDescent="0.25">
      <c r="Z398">
        <v>2008</v>
      </c>
      <c r="AA398" t="s">
        <v>199</v>
      </c>
      <c r="AB398">
        <v>234</v>
      </c>
    </row>
    <row r="399" spans="26:28" x14ac:dyDescent="0.25">
      <c r="Z399">
        <v>2008</v>
      </c>
      <c r="AA399" t="s">
        <v>200</v>
      </c>
      <c r="AB399">
        <v>161</v>
      </c>
    </row>
    <row r="400" spans="26:28" x14ac:dyDescent="0.25">
      <c r="Z400">
        <v>2008</v>
      </c>
      <c r="AA400" t="s">
        <v>201</v>
      </c>
      <c r="AB400">
        <v>81</v>
      </c>
    </row>
    <row r="401" spans="26:28" x14ac:dyDescent="0.25">
      <c r="Z401">
        <v>2008</v>
      </c>
      <c r="AA401" t="s">
        <v>202</v>
      </c>
      <c r="AB401">
        <v>111</v>
      </c>
    </row>
    <row r="402" spans="26:28" x14ac:dyDescent="0.25">
      <c r="Z402">
        <v>2008</v>
      </c>
      <c r="AA402" t="s">
        <v>203</v>
      </c>
      <c r="AB402">
        <v>146</v>
      </c>
    </row>
    <row r="403" spans="26:28" x14ac:dyDescent="0.25">
      <c r="Z403">
        <v>2008</v>
      </c>
      <c r="AA403" t="s">
        <v>204</v>
      </c>
      <c r="AB403">
        <v>420</v>
      </c>
    </row>
    <row r="404" spans="26:28" x14ac:dyDescent="0.25">
      <c r="Z404">
        <v>2008</v>
      </c>
      <c r="AA404" t="s">
        <v>205</v>
      </c>
      <c r="AB404">
        <v>189</v>
      </c>
    </row>
    <row r="405" spans="26:28" x14ac:dyDescent="0.25">
      <c r="Z405">
        <v>2008</v>
      </c>
      <c r="AA405" t="s">
        <v>206</v>
      </c>
      <c r="AB405">
        <v>337</v>
      </c>
    </row>
    <row r="406" spans="26:28" x14ac:dyDescent="0.25">
      <c r="Z406">
        <v>2008</v>
      </c>
      <c r="AA406" t="s">
        <v>207</v>
      </c>
      <c r="AB406">
        <v>230</v>
      </c>
    </row>
    <row r="407" spans="26:28" x14ac:dyDescent="0.25">
      <c r="Z407">
        <v>2017</v>
      </c>
      <c r="AA407" t="s">
        <v>224</v>
      </c>
      <c r="AB407">
        <v>762</v>
      </c>
    </row>
    <row r="408" spans="26:28" x14ac:dyDescent="0.25">
      <c r="Z408">
        <v>2008</v>
      </c>
      <c r="AA408" t="s">
        <v>209</v>
      </c>
      <c r="AB408">
        <v>76</v>
      </c>
    </row>
    <row r="409" spans="26:28" x14ac:dyDescent="0.25">
      <c r="Z409">
        <v>2008</v>
      </c>
      <c r="AA409" t="s">
        <v>210</v>
      </c>
      <c r="AB409">
        <v>352</v>
      </c>
    </row>
    <row r="410" spans="26:28" x14ac:dyDescent="0.25">
      <c r="Z410">
        <v>2008</v>
      </c>
      <c r="AA410" t="s">
        <v>211</v>
      </c>
      <c r="AB410">
        <v>347</v>
      </c>
    </row>
    <row r="411" spans="26:28" x14ac:dyDescent="0.25">
      <c r="Z411">
        <v>2008</v>
      </c>
      <c r="AA411" t="s">
        <v>212</v>
      </c>
      <c r="AB411">
        <v>343</v>
      </c>
    </row>
    <row r="412" spans="26:28" x14ac:dyDescent="0.25">
      <c r="Z412">
        <v>2008</v>
      </c>
      <c r="AA412" t="s">
        <v>213</v>
      </c>
      <c r="AB412">
        <v>510</v>
      </c>
    </row>
    <row r="413" spans="26:28" x14ac:dyDescent="0.25">
      <c r="Z413">
        <v>2008</v>
      </c>
      <c r="AA413" t="s">
        <v>214</v>
      </c>
      <c r="AB413">
        <v>373</v>
      </c>
    </row>
    <row r="414" spans="26:28" x14ac:dyDescent="0.25">
      <c r="Z414">
        <v>2008</v>
      </c>
      <c r="AA414" t="s">
        <v>215</v>
      </c>
      <c r="AB414">
        <v>494</v>
      </c>
    </row>
    <row r="415" spans="26:28" x14ac:dyDescent="0.25">
      <c r="Z415">
        <v>2008</v>
      </c>
      <c r="AA415" t="s">
        <v>216</v>
      </c>
      <c r="AB415">
        <v>480</v>
      </c>
    </row>
    <row r="416" spans="26:28" x14ac:dyDescent="0.25">
      <c r="Z416">
        <v>2008</v>
      </c>
      <c r="AA416" t="s">
        <v>217</v>
      </c>
      <c r="AB416">
        <v>862</v>
      </c>
    </row>
    <row r="417" spans="26:28" x14ac:dyDescent="0.25">
      <c r="Z417">
        <v>2016</v>
      </c>
      <c r="AA417" t="s">
        <v>224</v>
      </c>
      <c r="AB417">
        <v>772</v>
      </c>
    </row>
    <row r="418" spans="26:28" x14ac:dyDescent="0.25">
      <c r="Z418">
        <v>2008</v>
      </c>
      <c r="AA418" t="s">
        <v>219</v>
      </c>
      <c r="AB418">
        <v>595</v>
      </c>
    </row>
    <row r="419" spans="26:28" x14ac:dyDescent="0.25">
      <c r="Z419">
        <v>2008</v>
      </c>
      <c r="AA419" t="s">
        <v>220</v>
      </c>
      <c r="AB419">
        <v>869</v>
      </c>
    </row>
    <row r="420" spans="26:28" x14ac:dyDescent="0.25">
      <c r="Z420">
        <v>2008</v>
      </c>
      <c r="AA420" t="s">
        <v>221</v>
      </c>
      <c r="AB420">
        <v>572</v>
      </c>
    </row>
    <row r="421" spans="26:28" x14ac:dyDescent="0.25">
      <c r="Z421">
        <v>2008</v>
      </c>
      <c r="AA421" t="s">
        <v>222</v>
      </c>
      <c r="AB421">
        <v>793</v>
      </c>
    </row>
    <row r="422" spans="26:28" x14ac:dyDescent="0.25">
      <c r="Z422">
        <v>2008</v>
      </c>
      <c r="AA422" t="s">
        <v>223</v>
      </c>
      <c r="AB422">
        <v>988</v>
      </c>
    </row>
    <row r="423" spans="26:28" x14ac:dyDescent="0.25">
      <c r="Z423">
        <v>2015</v>
      </c>
      <c r="AA423" t="s">
        <v>224</v>
      </c>
      <c r="AB423">
        <v>790</v>
      </c>
    </row>
    <row r="424" spans="26:28" x14ac:dyDescent="0.25">
      <c r="Z424">
        <v>2014</v>
      </c>
      <c r="AA424" t="s">
        <v>224</v>
      </c>
      <c r="AB424">
        <v>815</v>
      </c>
    </row>
    <row r="425" spans="26:28" x14ac:dyDescent="0.25">
      <c r="Z425">
        <v>2013</v>
      </c>
      <c r="AA425" t="s">
        <v>224</v>
      </c>
      <c r="AB425">
        <v>827</v>
      </c>
    </row>
    <row r="426" spans="26:28" x14ac:dyDescent="0.25">
      <c r="Z426">
        <v>2007</v>
      </c>
      <c r="AA426" t="s">
        <v>199</v>
      </c>
      <c r="AB426">
        <v>261</v>
      </c>
    </row>
    <row r="427" spans="26:28" x14ac:dyDescent="0.25">
      <c r="Z427">
        <v>2007</v>
      </c>
      <c r="AA427" t="s">
        <v>200</v>
      </c>
      <c r="AB427">
        <v>220</v>
      </c>
    </row>
    <row r="428" spans="26:28" x14ac:dyDescent="0.25">
      <c r="Z428">
        <v>2007</v>
      </c>
      <c r="AA428" t="s">
        <v>201</v>
      </c>
      <c r="AB428">
        <v>91</v>
      </c>
    </row>
    <row r="429" spans="26:28" x14ac:dyDescent="0.25">
      <c r="Z429">
        <v>2007</v>
      </c>
      <c r="AA429" t="s">
        <v>202</v>
      </c>
      <c r="AB429">
        <v>103</v>
      </c>
    </row>
    <row r="430" spans="26:28" x14ac:dyDescent="0.25">
      <c r="Z430">
        <v>2007</v>
      </c>
      <c r="AA430" t="s">
        <v>203</v>
      </c>
      <c r="AB430">
        <v>160</v>
      </c>
    </row>
    <row r="431" spans="26:28" x14ac:dyDescent="0.25">
      <c r="Z431">
        <v>2007</v>
      </c>
      <c r="AA431" t="s">
        <v>204</v>
      </c>
      <c r="AB431">
        <v>448</v>
      </c>
    </row>
    <row r="432" spans="26:28" x14ac:dyDescent="0.25">
      <c r="Z432">
        <v>2007</v>
      </c>
      <c r="AA432" t="s">
        <v>205</v>
      </c>
      <c r="AB432">
        <v>186</v>
      </c>
    </row>
    <row r="433" spans="26:28" x14ac:dyDescent="0.25">
      <c r="Z433">
        <v>2007</v>
      </c>
      <c r="AA433" t="s">
        <v>206</v>
      </c>
      <c r="AB433">
        <v>389</v>
      </c>
    </row>
    <row r="434" spans="26:28" x14ac:dyDescent="0.25">
      <c r="Z434">
        <v>2007</v>
      </c>
      <c r="AA434" t="s">
        <v>207</v>
      </c>
      <c r="AB434">
        <v>236</v>
      </c>
    </row>
    <row r="435" spans="26:28" x14ac:dyDescent="0.25">
      <c r="Z435">
        <v>2012</v>
      </c>
      <c r="AA435" t="s">
        <v>224</v>
      </c>
      <c r="AB435">
        <v>829</v>
      </c>
    </row>
    <row r="436" spans="26:28" x14ac:dyDescent="0.25">
      <c r="Z436">
        <v>2007</v>
      </c>
      <c r="AA436" t="s">
        <v>209</v>
      </c>
      <c r="AB436">
        <v>82</v>
      </c>
    </row>
    <row r="437" spans="26:28" x14ac:dyDescent="0.25">
      <c r="Z437">
        <v>2007</v>
      </c>
      <c r="AA437" t="s">
        <v>210</v>
      </c>
      <c r="AB437">
        <v>364</v>
      </c>
    </row>
    <row r="438" spans="26:28" x14ac:dyDescent="0.25">
      <c r="Z438">
        <v>2007</v>
      </c>
      <c r="AA438" t="s">
        <v>211</v>
      </c>
      <c r="AB438">
        <v>411</v>
      </c>
    </row>
    <row r="439" spans="26:28" x14ac:dyDescent="0.25">
      <c r="Z439">
        <v>2007</v>
      </c>
      <c r="AA439" t="s">
        <v>212</v>
      </c>
      <c r="AB439">
        <v>392</v>
      </c>
    </row>
    <row r="440" spans="26:28" x14ac:dyDescent="0.25">
      <c r="Z440">
        <v>2007</v>
      </c>
      <c r="AA440" t="s">
        <v>213</v>
      </c>
      <c r="AB440">
        <v>491</v>
      </c>
    </row>
    <row r="441" spans="26:28" x14ac:dyDescent="0.25">
      <c r="Z441">
        <v>2007</v>
      </c>
      <c r="AA441" t="s">
        <v>214</v>
      </c>
      <c r="AB441">
        <v>383</v>
      </c>
    </row>
    <row r="442" spans="26:28" x14ac:dyDescent="0.25">
      <c r="Z442">
        <v>2007</v>
      </c>
      <c r="AA442" t="s">
        <v>215</v>
      </c>
      <c r="AB442">
        <v>517</v>
      </c>
    </row>
    <row r="443" spans="26:28" x14ac:dyDescent="0.25">
      <c r="Z443">
        <v>2007</v>
      </c>
      <c r="AA443" t="s">
        <v>216</v>
      </c>
      <c r="AB443">
        <v>486</v>
      </c>
    </row>
    <row r="444" spans="26:28" x14ac:dyDescent="0.25">
      <c r="Z444">
        <v>2007</v>
      </c>
      <c r="AA444" t="s">
        <v>217</v>
      </c>
      <c r="AB444">
        <v>886</v>
      </c>
    </row>
    <row r="445" spans="26:28" x14ac:dyDescent="0.25">
      <c r="Z445">
        <v>2011</v>
      </c>
      <c r="AA445" t="s">
        <v>224</v>
      </c>
      <c r="AB445">
        <v>851</v>
      </c>
    </row>
    <row r="446" spans="26:28" x14ac:dyDescent="0.25">
      <c r="Z446">
        <v>2007</v>
      </c>
      <c r="AA446" t="s">
        <v>219</v>
      </c>
      <c r="AB446">
        <v>607</v>
      </c>
    </row>
    <row r="447" spans="26:28" x14ac:dyDescent="0.25">
      <c r="Z447">
        <v>2007</v>
      </c>
      <c r="AA447" t="s">
        <v>220</v>
      </c>
      <c r="AB447">
        <v>879</v>
      </c>
    </row>
    <row r="448" spans="26:28" x14ac:dyDescent="0.25">
      <c r="Z448">
        <v>2007</v>
      </c>
      <c r="AA448" t="s">
        <v>221</v>
      </c>
      <c r="AB448">
        <v>608</v>
      </c>
    </row>
    <row r="449" spans="26:28" x14ac:dyDescent="0.25">
      <c r="Z449">
        <v>2007</v>
      </c>
      <c r="AA449" t="s">
        <v>222</v>
      </c>
      <c r="AB449">
        <v>795</v>
      </c>
    </row>
    <row r="450" spans="26:28" x14ac:dyDescent="0.25">
      <c r="Z450">
        <v>2007</v>
      </c>
      <c r="AA450" t="s">
        <v>223</v>
      </c>
      <c r="AB450">
        <v>1015</v>
      </c>
    </row>
    <row r="451" spans="26:28" x14ac:dyDescent="0.25">
      <c r="Z451">
        <v>2010</v>
      </c>
      <c r="AA451" t="s">
        <v>224</v>
      </c>
      <c r="AB451">
        <v>849</v>
      </c>
    </row>
    <row r="452" spans="26:28" x14ac:dyDescent="0.25">
      <c r="Z452">
        <v>2009</v>
      </c>
      <c r="AA452" t="s">
        <v>224</v>
      </c>
      <c r="AB452">
        <v>856</v>
      </c>
    </row>
    <row r="453" spans="26:28" x14ac:dyDescent="0.25">
      <c r="Z453">
        <v>2008</v>
      </c>
      <c r="AA453" t="s">
        <v>224</v>
      </c>
      <c r="AB453">
        <v>878</v>
      </c>
    </row>
    <row r="454" spans="26:28" x14ac:dyDescent="0.25">
      <c r="Z454">
        <v>2006</v>
      </c>
      <c r="AA454" t="s">
        <v>199</v>
      </c>
      <c r="AB454">
        <v>262</v>
      </c>
    </row>
    <row r="455" spans="26:28" x14ac:dyDescent="0.25">
      <c r="Z455">
        <v>2006</v>
      </c>
      <c r="AA455" t="s">
        <v>200</v>
      </c>
      <c r="AB455">
        <v>244</v>
      </c>
    </row>
    <row r="456" spans="26:28" x14ac:dyDescent="0.25">
      <c r="Z456">
        <v>2006</v>
      </c>
      <c r="AA456" t="s">
        <v>201</v>
      </c>
      <c r="AB456">
        <v>85</v>
      </c>
    </row>
    <row r="457" spans="26:28" x14ac:dyDescent="0.25">
      <c r="Z457">
        <v>2006</v>
      </c>
      <c r="AA457" t="s">
        <v>202</v>
      </c>
      <c r="AB457">
        <v>109</v>
      </c>
    </row>
    <row r="458" spans="26:28" x14ac:dyDescent="0.25">
      <c r="Z458">
        <v>2006</v>
      </c>
      <c r="AA458" t="s">
        <v>203</v>
      </c>
      <c r="AB458">
        <v>174</v>
      </c>
    </row>
    <row r="459" spans="26:28" x14ac:dyDescent="0.25">
      <c r="Z459">
        <v>2006</v>
      </c>
      <c r="AA459" t="s">
        <v>204</v>
      </c>
      <c r="AB459">
        <v>481</v>
      </c>
    </row>
    <row r="460" spans="26:28" x14ac:dyDescent="0.25">
      <c r="Z460">
        <v>2006</v>
      </c>
      <c r="AA460" t="s">
        <v>205</v>
      </c>
      <c r="AB460">
        <v>184</v>
      </c>
    </row>
    <row r="461" spans="26:28" x14ac:dyDescent="0.25">
      <c r="Z461">
        <v>2006</v>
      </c>
      <c r="AA461" t="s">
        <v>206</v>
      </c>
      <c r="AB461">
        <v>304</v>
      </c>
    </row>
    <row r="462" spans="26:28" x14ac:dyDescent="0.25">
      <c r="Z462">
        <v>2006</v>
      </c>
      <c r="AA462" t="s">
        <v>207</v>
      </c>
      <c r="AB462">
        <v>247</v>
      </c>
    </row>
    <row r="463" spans="26:28" x14ac:dyDescent="0.25">
      <c r="Z463">
        <v>2007</v>
      </c>
      <c r="AA463" t="s">
        <v>224</v>
      </c>
      <c r="AB463">
        <v>892</v>
      </c>
    </row>
    <row r="464" spans="26:28" x14ac:dyDescent="0.25">
      <c r="Z464">
        <v>2006</v>
      </c>
      <c r="AA464" t="s">
        <v>209</v>
      </c>
      <c r="AB464">
        <v>98</v>
      </c>
    </row>
    <row r="465" spans="26:28" x14ac:dyDescent="0.25">
      <c r="Z465">
        <v>2006</v>
      </c>
      <c r="AA465" t="s">
        <v>210</v>
      </c>
      <c r="AB465">
        <v>365</v>
      </c>
    </row>
    <row r="466" spans="26:28" x14ac:dyDescent="0.25">
      <c r="Z466">
        <v>2006</v>
      </c>
      <c r="AA466" t="s">
        <v>211</v>
      </c>
      <c r="AB466">
        <v>398</v>
      </c>
    </row>
    <row r="467" spans="26:28" x14ac:dyDescent="0.25">
      <c r="Z467">
        <v>2006</v>
      </c>
      <c r="AA467" t="s">
        <v>212</v>
      </c>
      <c r="AB467">
        <v>368</v>
      </c>
    </row>
    <row r="468" spans="26:28" x14ac:dyDescent="0.25">
      <c r="Z468">
        <v>2006</v>
      </c>
      <c r="AA468" t="s">
        <v>213</v>
      </c>
      <c r="AB468">
        <v>422</v>
      </c>
    </row>
    <row r="469" spans="26:28" x14ac:dyDescent="0.25">
      <c r="Z469">
        <v>2006</v>
      </c>
      <c r="AA469" t="s">
        <v>214</v>
      </c>
      <c r="AB469">
        <v>391</v>
      </c>
    </row>
    <row r="470" spans="26:28" x14ac:dyDescent="0.25">
      <c r="Z470">
        <v>2006</v>
      </c>
      <c r="AA470" t="s">
        <v>215</v>
      </c>
      <c r="AB470">
        <v>552</v>
      </c>
    </row>
    <row r="471" spans="26:28" x14ac:dyDescent="0.25">
      <c r="Z471">
        <v>2006</v>
      </c>
      <c r="AA471" t="s">
        <v>216</v>
      </c>
      <c r="AB471">
        <v>482</v>
      </c>
    </row>
    <row r="472" spans="26:28" x14ac:dyDescent="0.25">
      <c r="Z472">
        <v>2006</v>
      </c>
      <c r="AA472" t="s">
        <v>217</v>
      </c>
      <c r="AB472">
        <v>885</v>
      </c>
    </row>
    <row r="473" spans="26:28" x14ac:dyDescent="0.25">
      <c r="Z473">
        <v>2006</v>
      </c>
      <c r="AA473" t="s">
        <v>224</v>
      </c>
      <c r="AB473">
        <v>904</v>
      </c>
    </row>
    <row r="474" spans="26:28" x14ac:dyDescent="0.25">
      <c r="Z474">
        <v>2006</v>
      </c>
      <c r="AA474" t="s">
        <v>219</v>
      </c>
      <c r="AB474">
        <v>604</v>
      </c>
    </row>
    <row r="475" spans="26:28" x14ac:dyDescent="0.25">
      <c r="Z475">
        <v>2006</v>
      </c>
      <c r="AA475" t="s">
        <v>220</v>
      </c>
      <c r="AB475">
        <v>853</v>
      </c>
    </row>
    <row r="476" spans="26:28" x14ac:dyDescent="0.25">
      <c r="Z476">
        <v>2006</v>
      </c>
      <c r="AA476" t="s">
        <v>221</v>
      </c>
      <c r="AB476">
        <v>485</v>
      </c>
    </row>
    <row r="477" spans="26:28" x14ac:dyDescent="0.25">
      <c r="Z477">
        <v>2006</v>
      </c>
      <c r="AA477" t="s">
        <v>222</v>
      </c>
      <c r="AB477">
        <v>792</v>
      </c>
    </row>
    <row r="478" spans="26:28" x14ac:dyDescent="0.25">
      <c r="Z478">
        <v>2006</v>
      </c>
      <c r="AA478" t="s">
        <v>223</v>
      </c>
      <c r="AB478">
        <v>955</v>
      </c>
    </row>
    <row r="479" spans="26:28" x14ac:dyDescent="0.25">
      <c r="Z479">
        <v>2005</v>
      </c>
      <c r="AA479" t="s">
        <v>224</v>
      </c>
      <c r="AB479">
        <v>890</v>
      </c>
    </row>
    <row r="480" spans="26:28" x14ac:dyDescent="0.25">
      <c r="Z480">
        <v>2004</v>
      </c>
      <c r="AA480" t="s">
        <v>224</v>
      </c>
      <c r="AB480">
        <v>905</v>
      </c>
    </row>
    <row r="481" spans="26:28" x14ac:dyDescent="0.25">
      <c r="Z481">
        <v>2003</v>
      </c>
      <c r="AA481" t="s">
        <v>224</v>
      </c>
      <c r="AB481">
        <v>906</v>
      </c>
    </row>
    <row r="482" spans="26:28" x14ac:dyDescent="0.25">
      <c r="Z482">
        <v>2005</v>
      </c>
      <c r="AA482" t="s">
        <v>199</v>
      </c>
      <c r="AB482">
        <v>262</v>
      </c>
    </row>
    <row r="483" spans="26:28" x14ac:dyDescent="0.25">
      <c r="Z483">
        <v>2005</v>
      </c>
      <c r="AA483" t="s">
        <v>200</v>
      </c>
      <c r="AB483">
        <v>146</v>
      </c>
    </row>
    <row r="484" spans="26:28" x14ac:dyDescent="0.25">
      <c r="Z484">
        <v>2005</v>
      </c>
      <c r="AA484" t="s">
        <v>201</v>
      </c>
      <c r="AB484">
        <v>83</v>
      </c>
    </row>
    <row r="485" spans="26:28" x14ac:dyDescent="0.25">
      <c r="Z485">
        <v>2005</v>
      </c>
      <c r="AA485" t="s">
        <v>202</v>
      </c>
      <c r="AB485">
        <v>86</v>
      </c>
    </row>
    <row r="486" spans="26:28" x14ac:dyDescent="0.25">
      <c r="Z486">
        <v>2005</v>
      </c>
      <c r="AA486" t="s">
        <v>203</v>
      </c>
      <c r="AB486">
        <v>179</v>
      </c>
    </row>
    <row r="487" spans="26:28" x14ac:dyDescent="0.25">
      <c r="Z487">
        <v>2005</v>
      </c>
      <c r="AA487" t="s">
        <v>204</v>
      </c>
      <c r="AB487">
        <v>396</v>
      </c>
    </row>
    <row r="488" spans="26:28" x14ac:dyDescent="0.25">
      <c r="Z488">
        <v>2005</v>
      </c>
      <c r="AA488" t="s">
        <v>205</v>
      </c>
      <c r="AB488">
        <v>194</v>
      </c>
    </row>
    <row r="489" spans="26:28" x14ac:dyDescent="0.25">
      <c r="Z489">
        <v>2005</v>
      </c>
      <c r="AA489" t="s">
        <v>206</v>
      </c>
      <c r="AB489">
        <v>293</v>
      </c>
    </row>
    <row r="490" spans="26:28" x14ac:dyDescent="0.25">
      <c r="Z490">
        <v>2005</v>
      </c>
      <c r="AA490" t="s">
        <v>207</v>
      </c>
      <c r="AB490">
        <v>257</v>
      </c>
    </row>
    <row r="491" spans="26:28" x14ac:dyDescent="0.25">
      <c r="Z491">
        <v>2002</v>
      </c>
      <c r="AA491" t="s">
        <v>224</v>
      </c>
      <c r="AB491">
        <v>900</v>
      </c>
    </row>
    <row r="492" spans="26:28" x14ac:dyDescent="0.25">
      <c r="Z492">
        <v>2005</v>
      </c>
      <c r="AA492" t="s">
        <v>209</v>
      </c>
      <c r="AB492">
        <v>98</v>
      </c>
    </row>
    <row r="493" spans="26:28" x14ac:dyDescent="0.25">
      <c r="Z493">
        <v>2005</v>
      </c>
      <c r="AA493" t="s">
        <v>210</v>
      </c>
      <c r="AB493">
        <v>363</v>
      </c>
    </row>
    <row r="494" spans="26:28" x14ac:dyDescent="0.25">
      <c r="Z494">
        <v>2005</v>
      </c>
      <c r="AA494" t="s">
        <v>211</v>
      </c>
      <c r="AB494">
        <v>439</v>
      </c>
    </row>
    <row r="495" spans="26:28" x14ac:dyDescent="0.25">
      <c r="Z495">
        <v>2005</v>
      </c>
      <c r="AA495" t="s">
        <v>212</v>
      </c>
      <c r="AB495">
        <v>362</v>
      </c>
    </row>
    <row r="496" spans="26:28" x14ac:dyDescent="0.25">
      <c r="Z496">
        <v>2005</v>
      </c>
      <c r="AA496" t="s">
        <v>213</v>
      </c>
      <c r="AB496">
        <v>393</v>
      </c>
    </row>
    <row r="497" spans="26:28" x14ac:dyDescent="0.25">
      <c r="Z497">
        <v>2005</v>
      </c>
      <c r="AA497" t="s">
        <v>214</v>
      </c>
      <c r="AB497">
        <v>399</v>
      </c>
    </row>
    <row r="498" spans="26:28" x14ac:dyDescent="0.25">
      <c r="Z498">
        <v>2005</v>
      </c>
      <c r="AA498" t="s">
        <v>215</v>
      </c>
      <c r="AB498">
        <v>601</v>
      </c>
    </row>
    <row r="499" spans="26:28" x14ac:dyDescent="0.25">
      <c r="Z499">
        <v>2005</v>
      </c>
      <c r="AA499" t="s">
        <v>216</v>
      </c>
      <c r="AB499">
        <v>486</v>
      </c>
    </row>
    <row r="500" spans="26:28" x14ac:dyDescent="0.25">
      <c r="Z500">
        <v>2005</v>
      </c>
      <c r="AA500" t="s">
        <v>217</v>
      </c>
      <c r="AB500">
        <v>884</v>
      </c>
    </row>
    <row r="501" spans="26:28" x14ac:dyDescent="0.25">
      <c r="Z501">
        <v>2001</v>
      </c>
      <c r="AA501" t="s">
        <v>224</v>
      </c>
      <c r="AB501">
        <v>905</v>
      </c>
    </row>
    <row r="502" spans="26:28" x14ac:dyDescent="0.25">
      <c r="Z502">
        <v>2005</v>
      </c>
      <c r="AA502" t="s">
        <v>219</v>
      </c>
      <c r="AB502">
        <v>606</v>
      </c>
    </row>
    <row r="503" spans="26:28" x14ac:dyDescent="0.25">
      <c r="Z503">
        <v>2005</v>
      </c>
      <c r="AA503" t="s">
        <v>220</v>
      </c>
      <c r="AB503">
        <v>915</v>
      </c>
    </row>
    <row r="504" spans="26:28" x14ac:dyDescent="0.25">
      <c r="Z504">
        <v>2005</v>
      </c>
      <c r="AA504" t="s">
        <v>221</v>
      </c>
      <c r="AB504">
        <v>497</v>
      </c>
    </row>
    <row r="505" spans="26:28" x14ac:dyDescent="0.25">
      <c r="Z505">
        <v>2005</v>
      </c>
      <c r="AA505" t="s">
        <v>222</v>
      </c>
      <c r="AB505">
        <v>800</v>
      </c>
    </row>
    <row r="506" spans="26:28" x14ac:dyDescent="0.25">
      <c r="Z506">
        <v>2005</v>
      </c>
      <c r="AA506" t="s">
        <v>223</v>
      </c>
      <c r="AB506">
        <v>1001</v>
      </c>
    </row>
    <row r="507" spans="26:28" x14ac:dyDescent="0.25">
      <c r="Z507">
        <v>2000</v>
      </c>
      <c r="AA507" t="s">
        <v>224</v>
      </c>
      <c r="AB507">
        <v>916</v>
      </c>
    </row>
    <row r="508" spans="26:28" x14ac:dyDescent="0.25">
      <c r="Z508">
        <v>1999</v>
      </c>
      <c r="AA508" t="s">
        <v>224</v>
      </c>
      <c r="AB508">
        <v>924</v>
      </c>
    </row>
    <row r="509" spans="26:28" x14ac:dyDescent="0.25">
      <c r="Z509">
        <v>1998</v>
      </c>
      <c r="AA509" t="s">
        <v>224</v>
      </c>
      <c r="AB509">
        <v>937</v>
      </c>
    </row>
    <row r="510" spans="26:28" x14ac:dyDescent="0.25">
      <c r="Z510">
        <v>2004</v>
      </c>
      <c r="AA510" t="s">
        <v>199</v>
      </c>
      <c r="AB510">
        <v>266</v>
      </c>
    </row>
    <row r="511" spans="26:28" x14ac:dyDescent="0.25">
      <c r="Z511">
        <v>2004</v>
      </c>
      <c r="AA511" t="s">
        <v>200</v>
      </c>
      <c r="AB511">
        <v>239</v>
      </c>
    </row>
    <row r="512" spans="26:28" x14ac:dyDescent="0.25">
      <c r="Z512">
        <v>2004</v>
      </c>
      <c r="AA512" t="s">
        <v>201</v>
      </c>
      <c r="AB512">
        <v>65</v>
      </c>
    </row>
    <row r="513" spans="26:28" x14ac:dyDescent="0.25">
      <c r="Z513">
        <v>2004</v>
      </c>
      <c r="AA513" t="s">
        <v>202</v>
      </c>
      <c r="AB513">
        <v>92</v>
      </c>
    </row>
    <row r="514" spans="26:28" x14ac:dyDescent="0.25">
      <c r="Z514">
        <v>2004</v>
      </c>
      <c r="AA514" t="s">
        <v>203</v>
      </c>
      <c r="AB514">
        <v>185</v>
      </c>
    </row>
    <row r="515" spans="26:28" x14ac:dyDescent="0.25">
      <c r="Z515">
        <v>2004</v>
      </c>
      <c r="AA515" t="s">
        <v>204</v>
      </c>
      <c r="AB515">
        <v>430</v>
      </c>
    </row>
    <row r="516" spans="26:28" x14ac:dyDescent="0.25">
      <c r="Z516">
        <v>2004</v>
      </c>
      <c r="AA516" t="s">
        <v>205</v>
      </c>
      <c r="AB516">
        <v>222</v>
      </c>
    </row>
    <row r="517" spans="26:28" x14ac:dyDescent="0.25">
      <c r="Z517">
        <v>2004</v>
      </c>
      <c r="AA517" t="s">
        <v>206</v>
      </c>
      <c r="AB517">
        <v>279</v>
      </c>
    </row>
    <row r="518" spans="26:28" x14ac:dyDescent="0.25">
      <c r="Z518">
        <v>2004</v>
      </c>
      <c r="AA518" t="s">
        <v>207</v>
      </c>
      <c r="AB518">
        <v>261</v>
      </c>
    </row>
    <row r="519" spans="26:28" x14ac:dyDescent="0.25">
      <c r="Z519">
        <v>1997</v>
      </c>
      <c r="AA519" t="s">
        <v>224</v>
      </c>
      <c r="AB519">
        <v>961</v>
      </c>
    </row>
    <row r="520" spans="26:28" x14ac:dyDescent="0.25">
      <c r="Z520">
        <v>2004</v>
      </c>
      <c r="AA520" t="s">
        <v>209</v>
      </c>
      <c r="AB520">
        <v>63</v>
      </c>
    </row>
    <row r="521" spans="26:28" x14ac:dyDescent="0.25">
      <c r="Z521">
        <v>2004</v>
      </c>
      <c r="AA521" t="s">
        <v>210</v>
      </c>
      <c r="AB521">
        <v>438</v>
      </c>
    </row>
    <row r="522" spans="26:28" x14ac:dyDescent="0.25">
      <c r="Z522">
        <v>2004</v>
      </c>
      <c r="AA522" t="s">
        <v>211</v>
      </c>
      <c r="AB522">
        <v>423</v>
      </c>
    </row>
    <row r="523" spans="26:28" x14ac:dyDescent="0.25">
      <c r="Z523">
        <v>2004</v>
      </c>
      <c r="AA523" t="s">
        <v>212</v>
      </c>
      <c r="AB523">
        <v>363</v>
      </c>
    </row>
    <row r="524" spans="26:28" x14ac:dyDescent="0.25">
      <c r="Z524">
        <v>2004</v>
      </c>
      <c r="AA524" t="s">
        <v>213</v>
      </c>
      <c r="AB524">
        <v>447</v>
      </c>
    </row>
    <row r="525" spans="26:28" x14ac:dyDescent="0.25">
      <c r="Z525">
        <v>2004</v>
      </c>
      <c r="AA525" t="s">
        <v>214</v>
      </c>
      <c r="AB525">
        <v>417</v>
      </c>
    </row>
    <row r="526" spans="26:28" x14ac:dyDescent="0.25">
      <c r="Z526">
        <v>2004</v>
      </c>
      <c r="AA526" t="s">
        <v>215</v>
      </c>
      <c r="AB526">
        <v>594</v>
      </c>
    </row>
    <row r="527" spans="26:28" x14ac:dyDescent="0.25">
      <c r="Z527">
        <v>2004</v>
      </c>
      <c r="AA527" t="s">
        <v>216</v>
      </c>
      <c r="AB527">
        <v>499</v>
      </c>
    </row>
    <row r="528" spans="26:28" x14ac:dyDescent="0.25">
      <c r="Z528">
        <v>2004</v>
      </c>
      <c r="AA528" t="s">
        <v>217</v>
      </c>
      <c r="AB528">
        <v>935</v>
      </c>
    </row>
    <row r="529" spans="26:28" x14ac:dyDescent="0.25">
      <c r="Z529">
        <v>1996</v>
      </c>
      <c r="AA529" t="s">
        <v>224</v>
      </c>
      <c r="AB529">
        <v>970</v>
      </c>
    </row>
    <row r="530" spans="26:28" x14ac:dyDescent="0.25">
      <c r="Z530">
        <v>2004</v>
      </c>
      <c r="AA530" t="s">
        <v>219</v>
      </c>
      <c r="AB530">
        <v>580</v>
      </c>
    </row>
    <row r="531" spans="26:28" x14ac:dyDescent="0.25">
      <c r="Z531">
        <v>2004</v>
      </c>
      <c r="AA531" t="s">
        <v>220</v>
      </c>
      <c r="AB531">
        <v>920</v>
      </c>
    </row>
    <row r="532" spans="26:28" x14ac:dyDescent="0.25">
      <c r="Z532">
        <v>2004</v>
      </c>
      <c r="AA532" t="s">
        <v>221</v>
      </c>
      <c r="AB532">
        <v>543</v>
      </c>
    </row>
    <row r="533" spans="26:28" x14ac:dyDescent="0.25">
      <c r="Z533">
        <v>2004</v>
      </c>
      <c r="AA533" t="s">
        <v>222</v>
      </c>
      <c r="AB533">
        <v>781</v>
      </c>
    </row>
    <row r="534" spans="26:28" x14ac:dyDescent="0.25">
      <c r="Z534">
        <v>2004</v>
      </c>
      <c r="AA534" t="s">
        <v>223</v>
      </c>
      <c r="AB534">
        <v>1005</v>
      </c>
    </row>
    <row r="535" spans="26:28" x14ac:dyDescent="0.25">
      <c r="Z535">
        <v>1995</v>
      </c>
      <c r="AA535" t="s">
        <v>224</v>
      </c>
      <c r="AB535">
        <v>1003</v>
      </c>
    </row>
    <row r="536" spans="26:28" x14ac:dyDescent="0.25">
      <c r="Z536">
        <v>1994</v>
      </c>
      <c r="AA536" t="s">
        <v>224</v>
      </c>
      <c r="AB536">
        <v>1154</v>
      </c>
    </row>
    <row r="537" spans="26:28" x14ac:dyDescent="0.25">
      <c r="Z537">
        <v>1993</v>
      </c>
      <c r="AA537" t="s">
        <v>224</v>
      </c>
      <c r="AB537">
        <v>1160</v>
      </c>
    </row>
    <row r="538" spans="26:28" x14ac:dyDescent="0.25">
      <c r="Z538">
        <v>2003</v>
      </c>
      <c r="AA538" t="s">
        <v>199</v>
      </c>
      <c r="AB538">
        <v>246</v>
      </c>
    </row>
    <row r="539" spans="26:28" x14ac:dyDescent="0.25">
      <c r="Z539">
        <v>2003</v>
      </c>
      <c r="AA539" t="s">
        <v>200</v>
      </c>
      <c r="AB539">
        <v>286</v>
      </c>
    </row>
    <row r="540" spans="26:28" x14ac:dyDescent="0.25">
      <c r="Z540">
        <v>2003</v>
      </c>
      <c r="AA540" t="s">
        <v>201</v>
      </c>
      <c r="AB540">
        <v>68</v>
      </c>
    </row>
    <row r="541" spans="26:28" x14ac:dyDescent="0.25">
      <c r="Z541">
        <v>2003</v>
      </c>
      <c r="AA541" t="s">
        <v>202</v>
      </c>
      <c r="AB541">
        <v>130</v>
      </c>
    </row>
    <row r="542" spans="26:28" x14ac:dyDescent="0.25">
      <c r="Z542">
        <v>2003</v>
      </c>
      <c r="AA542" t="s">
        <v>203</v>
      </c>
      <c r="AB542">
        <v>204</v>
      </c>
    </row>
    <row r="543" spans="26:28" x14ac:dyDescent="0.25">
      <c r="Z543">
        <v>2003</v>
      </c>
      <c r="AA543" t="s">
        <v>204</v>
      </c>
      <c r="AB543">
        <v>497</v>
      </c>
    </row>
    <row r="544" spans="26:28" x14ac:dyDescent="0.25">
      <c r="Z544">
        <v>2003</v>
      </c>
      <c r="AA544" t="s">
        <v>205</v>
      </c>
      <c r="AB544">
        <v>218</v>
      </c>
    </row>
    <row r="545" spans="26:28" x14ac:dyDescent="0.25">
      <c r="Z545">
        <v>2003</v>
      </c>
      <c r="AA545" t="s">
        <v>206</v>
      </c>
      <c r="AB545">
        <v>380</v>
      </c>
    </row>
    <row r="546" spans="26:28" x14ac:dyDescent="0.25">
      <c r="Z546">
        <v>2003</v>
      </c>
      <c r="AA546" t="s">
        <v>207</v>
      </c>
      <c r="AB546">
        <v>260</v>
      </c>
    </row>
    <row r="547" spans="26:28" x14ac:dyDescent="0.25">
      <c r="Z547">
        <v>1992</v>
      </c>
      <c r="AA547" t="s">
        <v>224</v>
      </c>
      <c r="AB547">
        <v>1296</v>
      </c>
    </row>
    <row r="548" spans="26:28" x14ac:dyDescent="0.25">
      <c r="Z548">
        <v>2003</v>
      </c>
      <c r="AA548" t="s">
        <v>209</v>
      </c>
      <c r="AB548">
        <v>61</v>
      </c>
    </row>
    <row r="549" spans="26:28" x14ac:dyDescent="0.25">
      <c r="Z549">
        <v>2003</v>
      </c>
      <c r="AA549" t="s">
        <v>210</v>
      </c>
      <c r="AB549">
        <v>479</v>
      </c>
    </row>
    <row r="550" spans="26:28" x14ac:dyDescent="0.25">
      <c r="Z550">
        <v>2003</v>
      </c>
      <c r="AA550" t="s">
        <v>211</v>
      </c>
      <c r="AB550">
        <v>412</v>
      </c>
    </row>
    <row r="551" spans="26:28" x14ac:dyDescent="0.25">
      <c r="Z551">
        <v>2003</v>
      </c>
      <c r="AA551" t="s">
        <v>212</v>
      </c>
      <c r="AB551">
        <v>385</v>
      </c>
    </row>
    <row r="552" spans="26:28" x14ac:dyDescent="0.25">
      <c r="Z552">
        <v>2003</v>
      </c>
      <c r="AA552" t="s">
        <v>213</v>
      </c>
      <c r="AB552">
        <v>518</v>
      </c>
    </row>
    <row r="553" spans="26:28" x14ac:dyDescent="0.25">
      <c r="Z553">
        <v>2003</v>
      </c>
      <c r="AA553" t="s">
        <v>214</v>
      </c>
      <c r="AB553">
        <v>445</v>
      </c>
    </row>
    <row r="554" spans="26:28" x14ac:dyDescent="0.25">
      <c r="Z554">
        <v>2003</v>
      </c>
      <c r="AA554" t="s">
        <v>215</v>
      </c>
      <c r="AB554">
        <v>618</v>
      </c>
    </row>
    <row r="555" spans="26:28" x14ac:dyDescent="0.25">
      <c r="Z555">
        <v>2003</v>
      </c>
      <c r="AA555" t="s">
        <v>216</v>
      </c>
      <c r="AB555">
        <v>509</v>
      </c>
    </row>
    <row r="556" spans="26:28" x14ac:dyDescent="0.25">
      <c r="Z556">
        <v>2003</v>
      </c>
      <c r="AA556" t="s">
        <v>217</v>
      </c>
      <c r="AB556">
        <v>969</v>
      </c>
    </row>
    <row r="557" spans="26:28" x14ac:dyDescent="0.25">
      <c r="Z557">
        <v>1991</v>
      </c>
      <c r="AA557" t="s">
        <v>224</v>
      </c>
      <c r="AB557">
        <v>1268</v>
      </c>
    </row>
    <row r="558" spans="26:28" x14ac:dyDescent="0.25">
      <c r="Z558">
        <v>2003</v>
      </c>
      <c r="AA558" t="s">
        <v>219</v>
      </c>
      <c r="AB558">
        <v>595</v>
      </c>
    </row>
    <row r="559" spans="26:28" x14ac:dyDescent="0.25">
      <c r="Z559">
        <v>2003</v>
      </c>
      <c r="AA559" t="s">
        <v>220</v>
      </c>
      <c r="AB559">
        <v>914</v>
      </c>
    </row>
    <row r="560" spans="26:28" x14ac:dyDescent="0.25">
      <c r="Z560">
        <v>2003</v>
      </c>
      <c r="AA560" t="s">
        <v>221</v>
      </c>
      <c r="AB560">
        <v>541</v>
      </c>
    </row>
    <row r="561" spans="26:28" x14ac:dyDescent="0.25">
      <c r="Z561">
        <v>2003</v>
      </c>
      <c r="AA561" t="s">
        <v>222</v>
      </c>
      <c r="AB561">
        <v>773</v>
      </c>
    </row>
    <row r="562" spans="26:28" x14ac:dyDescent="0.25">
      <c r="Z562">
        <v>2003</v>
      </c>
      <c r="AA562" t="s">
        <v>223</v>
      </c>
      <c r="AB562">
        <v>1019</v>
      </c>
    </row>
    <row r="563" spans="26:28" x14ac:dyDescent="0.25">
      <c r="Z563">
        <v>1990</v>
      </c>
      <c r="AA563" t="s">
        <v>224</v>
      </c>
      <c r="AB563">
        <v>1293</v>
      </c>
    </row>
    <row r="564" spans="26:28" x14ac:dyDescent="0.25">
      <c r="Z564">
        <v>2022</v>
      </c>
      <c r="AA564" t="s">
        <v>208</v>
      </c>
      <c r="AB564">
        <v>173</v>
      </c>
    </row>
    <row r="565" spans="26:28" x14ac:dyDescent="0.25">
      <c r="Z565">
        <v>2021</v>
      </c>
      <c r="AA565" t="s">
        <v>208</v>
      </c>
      <c r="AB565">
        <v>170</v>
      </c>
    </row>
    <row r="566" spans="26:28" x14ac:dyDescent="0.25">
      <c r="Z566">
        <v>2002</v>
      </c>
      <c r="AA566" t="s">
        <v>199</v>
      </c>
      <c r="AB566">
        <v>274</v>
      </c>
    </row>
    <row r="567" spans="26:28" x14ac:dyDescent="0.25">
      <c r="Z567">
        <v>2002</v>
      </c>
      <c r="AA567" t="s">
        <v>200</v>
      </c>
      <c r="AB567">
        <v>226</v>
      </c>
    </row>
    <row r="568" spans="26:28" x14ac:dyDescent="0.25">
      <c r="Z568">
        <v>2002</v>
      </c>
      <c r="AA568" t="s">
        <v>201</v>
      </c>
      <c r="AB568">
        <v>62</v>
      </c>
    </row>
    <row r="569" spans="26:28" x14ac:dyDescent="0.25">
      <c r="Z569">
        <v>2002</v>
      </c>
      <c r="AA569" t="s">
        <v>202</v>
      </c>
      <c r="AB569">
        <v>123</v>
      </c>
    </row>
    <row r="570" spans="26:28" x14ac:dyDescent="0.25">
      <c r="Z570">
        <v>2002</v>
      </c>
      <c r="AA570" t="s">
        <v>203</v>
      </c>
      <c r="AB570">
        <v>164</v>
      </c>
    </row>
    <row r="571" spans="26:28" x14ac:dyDescent="0.25">
      <c r="Z571">
        <v>2002</v>
      </c>
      <c r="AA571" t="s">
        <v>204</v>
      </c>
      <c r="AB571">
        <v>472</v>
      </c>
    </row>
    <row r="572" spans="26:28" x14ac:dyDescent="0.25">
      <c r="Z572">
        <v>2002</v>
      </c>
      <c r="AA572" t="s">
        <v>205</v>
      </c>
      <c r="AB572">
        <v>203</v>
      </c>
    </row>
    <row r="573" spans="26:28" x14ac:dyDescent="0.25">
      <c r="Z573">
        <v>2002</v>
      </c>
      <c r="AA573" t="s">
        <v>206</v>
      </c>
      <c r="AB573">
        <v>353</v>
      </c>
    </row>
    <row r="574" spans="26:28" x14ac:dyDescent="0.25">
      <c r="Z574">
        <v>2002</v>
      </c>
      <c r="AA574" t="s">
        <v>207</v>
      </c>
      <c r="AB574">
        <v>259</v>
      </c>
    </row>
    <row r="575" spans="26:28" x14ac:dyDescent="0.25">
      <c r="Z575">
        <v>2020</v>
      </c>
      <c r="AA575" t="s">
        <v>208</v>
      </c>
      <c r="AB575">
        <v>203</v>
      </c>
    </row>
    <row r="576" spans="26:28" x14ac:dyDescent="0.25">
      <c r="Z576">
        <v>2002</v>
      </c>
      <c r="AA576" t="s">
        <v>209</v>
      </c>
      <c r="AB576">
        <v>66</v>
      </c>
    </row>
    <row r="577" spans="26:28" x14ac:dyDescent="0.25">
      <c r="Z577">
        <v>2002</v>
      </c>
      <c r="AA577" t="s">
        <v>210</v>
      </c>
      <c r="AB577">
        <v>433</v>
      </c>
    </row>
    <row r="578" spans="26:28" x14ac:dyDescent="0.25">
      <c r="Z578">
        <v>2002</v>
      </c>
      <c r="AA578" t="s">
        <v>211</v>
      </c>
      <c r="AB578">
        <v>468</v>
      </c>
    </row>
    <row r="579" spans="26:28" x14ac:dyDescent="0.25">
      <c r="Z579">
        <v>2002</v>
      </c>
      <c r="AA579" t="s">
        <v>212</v>
      </c>
      <c r="AB579">
        <v>393</v>
      </c>
    </row>
    <row r="580" spans="26:28" x14ac:dyDescent="0.25">
      <c r="Z580">
        <v>2002</v>
      </c>
      <c r="AA580" t="s">
        <v>213</v>
      </c>
      <c r="AB580">
        <v>450</v>
      </c>
    </row>
    <row r="581" spans="26:28" x14ac:dyDescent="0.25">
      <c r="Z581">
        <v>2002</v>
      </c>
      <c r="AA581" t="s">
        <v>214</v>
      </c>
      <c r="AB581">
        <v>407</v>
      </c>
    </row>
    <row r="582" spans="26:28" x14ac:dyDescent="0.25">
      <c r="Z582">
        <v>2002</v>
      </c>
      <c r="AA582" t="s">
        <v>215</v>
      </c>
      <c r="AB582">
        <v>650</v>
      </c>
    </row>
    <row r="583" spans="26:28" x14ac:dyDescent="0.25">
      <c r="Z583">
        <v>2002</v>
      </c>
      <c r="AA583" t="s">
        <v>216</v>
      </c>
      <c r="AB583">
        <v>511</v>
      </c>
    </row>
    <row r="584" spans="26:28" x14ac:dyDescent="0.25">
      <c r="Z584">
        <v>2002</v>
      </c>
      <c r="AA584" t="s">
        <v>217</v>
      </c>
      <c r="AB584">
        <v>957</v>
      </c>
    </row>
    <row r="585" spans="26:28" x14ac:dyDescent="0.25">
      <c r="Z585">
        <v>2019</v>
      </c>
      <c r="AA585" t="s">
        <v>208</v>
      </c>
      <c r="AB585">
        <v>254</v>
      </c>
    </row>
    <row r="586" spans="26:28" x14ac:dyDescent="0.25">
      <c r="Z586">
        <v>2002</v>
      </c>
      <c r="AA586" t="s">
        <v>219</v>
      </c>
      <c r="AB586">
        <v>663</v>
      </c>
    </row>
    <row r="587" spans="26:28" x14ac:dyDescent="0.25">
      <c r="Z587">
        <v>2002</v>
      </c>
      <c r="AA587" t="s">
        <v>220</v>
      </c>
      <c r="AB587">
        <v>955</v>
      </c>
    </row>
    <row r="588" spans="26:28" x14ac:dyDescent="0.25">
      <c r="Z588">
        <v>2002</v>
      </c>
      <c r="AA588" t="s">
        <v>221</v>
      </c>
      <c r="AB588">
        <v>491</v>
      </c>
    </row>
    <row r="589" spans="26:28" x14ac:dyDescent="0.25">
      <c r="Z589">
        <v>2002</v>
      </c>
      <c r="AA589" t="s">
        <v>222</v>
      </c>
      <c r="AB589">
        <v>766</v>
      </c>
    </row>
    <row r="590" spans="26:28" x14ac:dyDescent="0.25">
      <c r="Z590">
        <v>2002</v>
      </c>
      <c r="AA590" t="s">
        <v>223</v>
      </c>
      <c r="AB590">
        <v>1015</v>
      </c>
    </row>
    <row r="591" spans="26:28" x14ac:dyDescent="0.25">
      <c r="Z591">
        <v>2018</v>
      </c>
      <c r="AA591" t="s">
        <v>208</v>
      </c>
      <c r="AB591">
        <v>309</v>
      </c>
    </row>
    <row r="592" spans="26:28" x14ac:dyDescent="0.25">
      <c r="Z592">
        <v>2017</v>
      </c>
      <c r="AA592" t="s">
        <v>208</v>
      </c>
      <c r="AB592">
        <v>362</v>
      </c>
    </row>
    <row r="593" spans="26:28" x14ac:dyDescent="0.25">
      <c r="Z593">
        <v>2016</v>
      </c>
      <c r="AA593" t="s">
        <v>208</v>
      </c>
      <c r="AB593">
        <v>295</v>
      </c>
    </row>
    <row r="594" spans="26:28" x14ac:dyDescent="0.25">
      <c r="Z594">
        <v>2001</v>
      </c>
      <c r="AA594" t="s">
        <v>199</v>
      </c>
      <c r="AB594">
        <v>166</v>
      </c>
    </row>
    <row r="595" spans="26:28" x14ac:dyDescent="0.25">
      <c r="Z595">
        <v>2001</v>
      </c>
      <c r="AA595" t="s">
        <v>200</v>
      </c>
      <c r="AB595">
        <v>204</v>
      </c>
    </row>
    <row r="596" spans="26:28" x14ac:dyDescent="0.25">
      <c r="Z596">
        <v>2001</v>
      </c>
      <c r="AA596" t="s">
        <v>201</v>
      </c>
      <c r="AB596">
        <v>53</v>
      </c>
    </row>
    <row r="597" spans="26:28" x14ac:dyDescent="0.25">
      <c r="Z597">
        <v>2001</v>
      </c>
      <c r="AA597" t="s">
        <v>202</v>
      </c>
      <c r="AB597">
        <v>114</v>
      </c>
    </row>
    <row r="598" spans="26:28" x14ac:dyDescent="0.25">
      <c r="Z598">
        <v>2001</v>
      </c>
      <c r="AA598" t="s">
        <v>203</v>
      </c>
      <c r="AB598">
        <v>172</v>
      </c>
    </row>
    <row r="599" spans="26:28" x14ac:dyDescent="0.25">
      <c r="Z599">
        <v>2001</v>
      </c>
      <c r="AA599" t="s">
        <v>204</v>
      </c>
      <c r="AB599">
        <v>480</v>
      </c>
    </row>
    <row r="600" spans="26:28" x14ac:dyDescent="0.25">
      <c r="Z600">
        <v>2001</v>
      </c>
      <c r="AA600" t="s">
        <v>205</v>
      </c>
      <c r="AB600">
        <v>216</v>
      </c>
    </row>
    <row r="601" spans="26:28" x14ac:dyDescent="0.25">
      <c r="Z601">
        <v>2001</v>
      </c>
      <c r="AA601" t="s">
        <v>206</v>
      </c>
      <c r="AB601">
        <v>296</v>
      </c>
    </row>
    <row r="602" spans="26:28" x14ac:dyDescent="0.25">
      <c r="Z602">
        <v>2001</v>
      </c>
      <c r="AA602" t="s">
        <v>207</v>
      </c>
      <c r="AB602">
        <v>251</v>
      </c>
    </row>
    <row r="603" spans="26:28" x14ac:dyDescent="0.25">
      <c r="Z603">
        <v>2015</v>
      </c>
      <c r="AA603" t="s">
        <v>208</v>
      </c>
      <c r="AB603">
        <v>364</v>
      </c>
    </row>
    <row r="604" spans="26:28" x14ac:dyDescent="0.25">
      <c r="Z604">
        <v>2001</v>
      </c>
      <c r="AA604" t="s">
        <v>209</v>
      </c>
      <c r="AB604">
        <v>80</v>
      </c>
    </row>
    <row r="605" spans="26:28" x14ac:dyDescent="0.25">
      <c r="Z605">
        <v>2001</v>
      </c>
      <c r="AA605" t="s">
        <v>210</v>
      </c>
      <c r="AB605">
        <v>444</v>
      </c>
    </row>
    <row r="606" spans="26:28" x14ac:dyDescent="0.25">
      <c r="Z606">
        <v>2001</v>
      </c>
      <c r="AA606" t="s">
        <v>211</v>
      </c>
      <c r="AB606">
        <v>416</v>
      </c>
    </row>
    <row r="607" spans="26:28" x14ac:dyDescent="0.25">
      <c r="Z607">
        <v>2001</v>
      </c>
      <c r="AA607" t="s">
        <v>212</v>
      </c>
      <c r="AB607">
        <v>377</v>
      </c>
    </row>
    <row r="608" spans="26:28" x14ac:dyDescent="0.25">
      <c r="Z608">
        <v>2001</v>
      </c>
      <c r="AA608" t="s">
        <v>213</v>
      </c>
      <c r="AB608">
        <v>458</v>
      </c>
    </row>
    <row r="609" spans="26:28" x14ac:dyDescent="0.25">
      <c r="Z609">
        <v>2001</v>
      </c>
      <c r="AA609" t="s">
        <v>214</v>
      </c>
      <c r="AB609">
        <v>385</v>
      </c>
    </row>
    <row r="610" spans="26:28" x14ac:dyDescent="0.25">
      <c r="Z610">
        <v>2001</v>
      </c>
      <c r="AA610" t="s">
        <v>215</v>
      </c>
      <c r="AB610">
        <v>694</v>
      </c>
    </row>
    <row r="611" spans="26:28" x14ac:dyDescent="0.25">
      <c r="Z611">
        <v>2001</v>
      </c>
      <c r="AA611" t="s">
        <v>216</v>
      </c>
      <c r="AB611">
        <v>519</v>
      </c>
    </row>
    <row r="612" spans="26:28" x14ac:dyDescent="0.25">
      <c r="Z612">
        <v>2001</v>
      </c>
      <c r="AA612" t="s">
        <v>217</v>
      </c>
      <c r="AB612">
        <v>1004</v>
      </c>
    </row>
    <row r="613" spans="26:28" x14ac:dyDescent="0.25">
      <c r="Z613">
        <v>2014</v>
      </c>
      <c r="AA613" t="s">
        <v>208</v>
      </c>
      <c r="AB613">
        <v>299</v>
      </c>
    </row>
    <row r="614" spans="26:28" x14ac:dyDescent="0.25">
      <c r="Z614">
        <v>2001</v>
      </c>
      <c r="AA614" t="s">
        <v>219</v>
      </c>
      <c r="AB614">
        <v>678</v>
      </c>
    </row>
    <row r="615" spans="26:28" x14ac:dyDescent="0.25">
      <c r="Z615">
        <v>2001</v>
      </c>
      <c r="AA615" t="s">
        <v>220</v>
      </c>
      <c r="AB615">
        <v>983</v>
      </c>
    </row>
    <row r="616" spans="26:28" x14ac:dyDescent="0.25">
      <c r="Z616">
        <v>2001</v>
      </c>
      <c r="AA616" t="s">
        <v>221</v>
      </c>
      <c r="AB616">
        <v>532</v>
      </c>
    </row>
    <row r="617" spans="26:28" x14ac:dyDescent="0.25">
      <c r="Z617">
        <v>2001</v>
      </c>
      <c r="AA617" t="s">
        <v>222</v>
      </c>
      <c r="AB617">
        <v>786</v>
      </c>
    </row>
    <row r="618" spans="26:28" x14ac:dyDescent="0.25">
      <c r="Z618">
        <v>2001</v>
      </c>
      <c r="AA618" t="s">
        <v>223</v>
      </c>
      <c r="AB618">
        <v>1033</v>
      </c>
    </row>
    <row r="619" spans="26:28" x14ac:dyDescent="0.25">
      <c r="Z619">
        <v>2013</v>
      </c>
      <c r="AA619" t="s">
        <v>208</v>
      </c>
      <c r="AB619">
        <v>318</v>
      </c>
    </row>
    <row r="620" spans="26:28" x14ac:dyDescent="0.25">
      <c r="Z620">
        <v>2012</v>
      </c>
      <c r="AA620" t="s">
        <v>208</v>
      </c>
      <c r="AB620">
        <v>397</v>
      </c>
    </row>
    <row r="621" spans="26:28" x14ac:dyDescent="0.25">
      <c r="Z621">
        <v>2011</v>
      </c>
      <c r="AA621" t="s">
        <v>208</v>
      </c>
      <c r="AB621">
        <v>332</v>
      </c>
    </row>
    <row r="622" spans="26:28" x14ac:dyDescent="0.25">
      <c r="Z622">
        <v>2000</v>
      </c>
      <c r="AA622" t="s">
        <v>199</v>
      </c>
      <c r="AB622">
        <v>92</v>
      </c>
    </row>
    <row r="623" spans="26:28" x14ac:dyDescent="0.25">
      <c r="Z623">
        <v>2000</v>
      </c>
      <c r="AA623" t="s">
        <v>200</v>
      </c>
      <c r="AB623">
        <v>159</v>
      </c>
    </row>
    <row r="624" spans="26:28" x14ac:dyDescent="0.25">
      <c r="Z624">
        <v>2000</v>
      </c>
      <c r="AA624" t="s">
        <v>201</v>
      </c>
      <c r="AB624">
        <v>72</v>
      </c>
    </row>
    <row r="625" spans="26:28" x14ac:dyDescent="0.25">
      <c r="Z625">
        <v>2000</v>
      </c>
      <c r="AA625" t="s">
        <v>202</v>
      </c>
      <c r="AB625">
        <v>117</v>
      </c>
    </row>
    <row r="626" spans="26:28" x14ac:dyDescent="0.25">
      <c r="Z626">
        <v>2000</v>
      </c>
      <c r="AA626" t="s">
        <v>203</v>
      </c>
      <c r="AB626">
        <v>155</v>
      </c>
    </row>
    <row r="627" spans="26:28" x14ac:dyDescent="0.25">
      <c r="Z627">
        <v>2000</v>
      </c>
      <c r="AA627" t="s">
        <v>204</v>
      </c>
      <c r="AB627">
        <v>487</v>
      </c>
    </row>
    <row r="628" spans="26:28" x14ac:dyDescent="0.25">
      <c r="Z628">
        <v>2000</v>
      </c>
      <c r="AA628" t="s">
        <v>205</v>
      </c>
      <c r="AB628">
        <v>210</v>
      </c>
    </row>
    <row r="629" spans="26:28" x14ac:dyDescent="0.25">
      <c r="Z629">
        <v>2000</v>
      </c>
      <c r="AA629" t="s">
        <v>206</v>
      </c>
      <c r="AB629">
        <v>282</v>
      </c>
    </row>
    <row r="630" spans="26:28" x14ac:dyDescent="0.25">
      <c r="Z630">
        <v>2000</v>
      </c>
      <c r="AA630" t="s">
        <v>207</v>
      </c>
      <c r="AB630">
        <v>267</v>
      </c>
    </row>
    <row r="631" spans="26:28" x14ac:dyDescent="0.25">
      <c r="Z631">
        <v>2010</v>
      </c>
      <c r="AA631" t="s">
        <v>208</v>
      </c>
      <c r="AB631">
        <v>280</v>
      </c>
    </row>
    <row r="632" spans="26:28" x14ac:dyDescent="0.25">
      <c r="Z632">
        <v>2000</v>
      </c>
      <c r="AA632" t="s">
        <v>209</v>
      </c>
      <c r="AB632">
        <v>94</v>
      </c>
    </row>
    <row r="633" spans="26:28" x14ac:dyDescent="0.25">
      <c r="Z633">
        <v>2000</v>
      </c>
      <c r="AA633" t="s">
        <v>210</v>
      </c>
      <c r="AB633">
        <v>446</v>
      </c>
    </row>
    <row r="634" spans="26:28" x14ac:dyDescent="0.25">
      <c r="Z634">
        <v>2000</v>
      </c>
      <c r="AA634" t="s">
        <v>211</v>
      </c>
      <c r="AB634">
        <v>467</v>
      </c>
    </row>
    <row r="635" spans="26:28" x14ac:dyDescent="0.25">
      <c r="Z635">
        <v>2000</v>
      </c>
      <c r="AA635" t="s">
        <v>212</v>
      </c>
      <c r="AB635">
        <v>354</v>
      </c>
    </row>
    <row r="636" spans="26:28" x14ac:dyDescent="0.25">
      <c r="Z636">
        <v>2000</v>
      </c>
      <c r="AA636" t="s">
        <v>213</v>
      </c>
      <c r="AB636">
        <v>460</v>
      </c>
    </row>
    <row r="637" spans="26:28" x14ac:dyDescent="0.25">
      <c r="Z637">
        <v>2000</v>
      </c>
      <c r="AA637" t="s">
        <v>214</v>
      </c>
      <c r="AB637">
        <v>397</v>
      </c>
    </row>
    <row r="638" spans="26:28" x14ac:dyDescent="0.25">
      <c r="Z638">
        <v>2000</v>
      </c>
      <c r="AA638" t="s">
        <v>215</v>
      </c>
      <c r="AB638">
        <v>674</v>
      </c>
    </row>
    <row r="639" spans="26:28" x14ac:dyDescent="0.25">
      <c r="Z639">
        <v>2000</v>
      </c>
      <c r="AA639" t="s">
        <v>216</v>
      </c>
      <c r="AB639">
        <v>494</v>
      </c>
    </row>
    <row r="640" spans="26:28" x14ac:dyDescent="0.25">
      <c r="Z640">
        <v>2000</v>
      </c>
      <c r="AA640" t="s">
        <v>217</v>
      </c>
      <c r="AB640">
        <v>838</v>
      </c>
    </row>
    <row r="641" spans="26:28" x14ac:dyDescent="0.25">
      <c r="Z641">
        <v>2009</v>
      </c>
      <c r="AA641" t="s">
        <v>208</v>
      </c>
      <c r="AB641">
        <v>392</v>
      </c>
    </row>
    <row r="642" spans="26:28" x14ac:dyDescent="0.25">
      <c r="Z642">
        <v>2000</v>
      </c>
      <c r="AA642" t="s">
        <v>219</v>
      </c>
      <c r="AB642">
        <v>678</v>
      </c>
    </row>
    <row r="643" spans="26:28" x14ac:dyDescent="0.25">
      <c r="Z643">
        <v>2000</v>
      </c>
      <c r="AA643" t="s">
        <v>220</v>
      </c>
      <c r="AB643">
        <v>974</v>
      </c>
    </row>
    <row r="644" spans="26:28" x14ac:dyDescent="0.25">
      <c r="Z644">
        <v>2000</v>
      </c>
      <c r="AA644" t="s">
        <v>221</v>
      </c>
      <c r="AB644">
        <v>485</v>
      </c>
    </row>
    <row r="645" spans="26:28" x14ac:dyDescent="0.25">
      <c r="Z645">
        <v>2000</v>
      </c>
      <c r="AA645" t="s">
        <v>222</v>
      </c>
      <c r="AB645">
        <v>848</v>
      </c>
    </row>
    <row r="646" spans="26:28" x14ac:dyDescent="0.25">
      <c r="Z646">
        <v>2000</v>
      </c>
      <c r="AA646" t="s">
        <v>223</v>
      </c>
      <c r="AB646">
        <v>1074</v>
      </c>
    </row>
    <row r="647" spans="26:28" x14ac:dyDescent="0.25">
      <c r="Z647">
        <v>2008</v>
      </c>
      <c r="AA647" t="s">
        <v>208</v>
      </c>
      <c r="AB647">
        <v>416</v>
      </c>
    </row>
    <row r="648" spans="26:28" x14ac:dyDescent="0.25">
      <c r="Z648">
        <v>2007</v>
      </c>
      <c r="AA648" t="s">
        <v>208</v>
      </c>
      <c r="AB648">
        <v>421</v>
      </c>
    </row>
    <row r="649" spans="26:28" x14ac:dyDescent="0.25">
      <c r="Z649">
        <v>2006</v>
      </c>
      <c r="AA649" t="s">
        <v>208</v>
      </c>
      <c r="AB649">
        <v>450</v>
      </c>
    </row>
    <row r="650" spans="26:28" x14ac:dyDescent="0.25">
      <c r="Z650">
        <v>1999</v>
      </c>
      <c r="AA650" t="s">
        <v>199</v>
      </c>
      <c r="AB650">
        <v>450</v>
      </c>
    </row>
    <row r="651" spans="26:28" x14ac:dyDescent="0.25">
      <c r="Z651">
        <v>1999</v>
      </c>
      <c r="AA651" t="s">
        <v>200</v>
      </c>
      <c r="AB651">
        <v>190</v>
      </c>
    </row>
    <row r="652" spans="26:28" x14ac:dyDescent="0.25">
      <c r="Z652">
        <v>1999</v>
      </c>
      <c r="AA652" t="s">
        <v>201</v>
      </c>
      <c r="AB652">
        <v>111</v>
      </c>
    </row>
    <row r="653" spans="26:28" x14ac:dyDescent="0.25">
      <c r="Z653">
        <v>1999</v>
      </c>
      <c r="AA653" t="s">
        <v>202</v>
      </c>
      <c r="AB653">
        <v>161</v>
      </c>
    </row>
    <row r="654" spans="26:28" x14ac:dyDescent="0.25">
      <c r="Z654">
        <v>1999</v>
      </c>
      <c r="AA654" t="s">
        <v>203</v>
      </c>
      <c r="AB654">
        <v>164</v>
      </c>
    </row>
    <row r="655" spans="26:28" x14ac:dyDescent="0.25">
      <c r="Z655">
        <v>1999</v>
      </c>
      <c r="AA655" t="s">
        <v>204</v>
      </c>
      <c r="AB655">
        <v>518</v>
      </c>
    </row>
    <row r="656" spans="26:28" x14ac:dyDescent="0.25">
      <c r="Z656">
        <v>1999</v>
      </c>
      <c r="AA656" t="s">
        <v>205</v>
      </c>
      <c r="AB656">
        <v>220</v>
      </c>
    </row>
    <row r="657" spans="26:28" x14ac:dyDescent="0.25">
      <c r="Z657">
        <v>1999</v>
      </c>
      <c r="AA657" t="s">
        <v>206</v>
      </c>
      <c r="AB657">
        <v>286</v>
      </c>
    </row>
    <row r="658" spans="26:28" x14ac:dyDescent="0.25">
      <c r="Z658">
        <v>1999</v>
      </c>
      <c r="AA658" t="s">
        <v>207</v>
      </c>
      <c r="AB658">
        <v>259</v>
      </c>
    </row>
    <row r="659" spans="26:28" x14ac:dyDescent="0.25">
      <c r="Z659">
        <v>2005</v>
      </c>
      <c r="AA659" t="s">
        <v>208</v>
      </c>
      <c r="AB659">
        <v>535</v>
      </c>
    </row>
    <row r="660" spans="26:28" x14ac:dyDescent="0.25">
      <c r="Z660">
        <v>1999</v>
      </c>
      <c r="AA660" t="s">
        <v>209</v>
      </c>
      <c r="AB660">
        <v>110</v>
      </c>
    </row>
    <row r="661" spans="26:28" x14ac:dyDescent="0.25">
      <c r="Z661">
        <v>1999</v>
      </c>
      <c r="AA661" t="s">
        <v>210</v>
      </c>
      <c r="AB661">
        <v>467</v>
      </c>
    </row>
    <row r="662" spans="26:28" x14ac:dyDescent="0.25">
      <c r="Z662">
        <v>1999</v>
      </c>
      <c r="AA662" t="s">
        <v>211</v>
      </c>
      <c r="AB662">
        <v>500</v>
      </c>
    </row>
    <row r="663" spans="26:28" x14ac:dyDescent="0.25">
      <c r="Z663">
        <v>1999</v>
      </c>
      <c r="AA663" t="s">
        <v>212</v>
      </c>
      <c r="AB663">
        <v>344</v>
      </c>
    </row>
    <row r="664" spans="26:28" x14ac:dyDescent="0.25">
      <c r="Z664">
        <v>1999</v>
      </c>
      <c r="AA664" t="s">
        <v>213</v>
      </c>
      <c r="AB664">
        <v>403</v>
      </c>
    </row>
    <row r="665" spans="26:28" x14ac:dyDescent="0.25">
      <c r="Z665">
        <v>1999</v>
      </c>
      <c r="AA665" t="s">
        <v>214</v>
      </c>
      <c r="AB665">
        <v>495</v>
      </c>
    </row>
    <row r="666" spans="26:28" x14ac:dyDescent="0.25">
      <c r="Z666">
        <v>1999</v>
      </c>
      <c r="AA666" t="s">
        <v>215</v>
      </c>
      <c r="AB666">
        <v>719</v>
      </c>
    </row>
    <row r="667" spans="26:28" x14ac:dyDescent="0.25">
      <c r="Z667">
        <v>1999</v>
      </c>
      <c r="AA667" t="s">
        <v>216</v>
      </c>
      <c r="AB667">
        <v>501</v>
      </c>
    </row>
    <row r="668" spans="26:28" x14ac:dyDescent="0.25">
      <c r="Z668">
        <v>1999</v>
      </c>
      <c r="AA668" t="s">
        <v>217</v>
      </c>
      <c r="AB668">
        <v>925</v>
      </c>
    </row>
    <row r="669" spans="26:28" x14ac:dyDescent="0.25">
      <c r="Z669">
        <v>2004</v>
      </c>
      <c r="AA669" t="s">
        <v>208</v>
      </c>
      <c r="AB669">
        <v>484</v>
      </c>
    </row>
    <row r="670" spans="26:28" x14ac:dyDescent="0.25">
      <c r="Z670">
        <v>1999</v>
      </c>
      <c r="AA670" t="s">
        <v>219</v>
      </c>
      <c r="AB670">
        <v>663</v>
      </c>
    </row>
    <row r="671" spans="26:28" x14ac:dyDescent="0.25">
      <c r="Z671">
        <v>1999</v>
      </c>
      <c r="AA671" t="s">
        <v>220</v>
      </c>
      <c r="AB671">
        <v>978</v>
      </c>
    </row>
    <row r="672" spans="26:28" x14ac:dyDescent="0.25">
      <c r="Z672">
        <v>1999</v>
      </c>
      <c r="AA672" t="s">
        <v>221</v>
      </c>
      <c r="AB672">
        <v>516</v>
      </c>
    </row>
    <row r="673" spans="26:28" x14ac:dyDescent="0.25">
      <c r="Z673">
        <v>1999</v>
      </c>
      <c r="AA673" t="s">
        <v>222</v>
      </c>
      <c r="AB673">
        <v>869</v>
      </c>
    </row>
    <row r="674" spans="26:28" x14ac:dyDescent="0.25">
      <c r="Z674">
        <v>1999</v>
      </c>
      <c r="AA674" t="s">
        <v>223</v>
      </c>
      <c r="AB674">
        <v>1135</v>
      </c>
    </row>
    <row r="675" spans="26:28" x14ac:dyDescent="0.25">
      <c r="Z675">
        <v>2003</v>
      </c>
      <c r="AA675" t="s">
        <v>208</v>
      </c>
      <c r="AB675">
        <v>439</v>
      </c>
    </row>
    <row r="676" spans="26:28" x14ac:dyDescent="0.25">
      <c r="Z676">
        <v>2002</v>
      </c>
      <c r="AA676" t="s">
        <v>208</v>
      </c>
      <c r="AB676">
        <v>539</v>
      </c>
    </row>
    <row r="677" spans="26:28" x14ac:dyDescent="0.25">
      <c r="Z677">
        <v>2001</v>
      </c>
      <c r="AA677" t="s">
        <v>208</v>
      </c>
      <c r="AB677">
        <v>461</v>
      </c>
    </row>
    <row r="678" spans="26:28" x14ac:dyDescent="0.25">
      <c r="Z678">
        <v>1998</v>
      </c>
      <c r="AA678" t="s">
        <v>199</v>
      </c>
      <c r="AB678">
        <v>327</v>
      </c>
    </row>
    <row r="679" spans="26:28" x14ac:dyDescent="0.25">
      <c r="Z679">
        <v>1998</v>
      </c>
      <c r="AA679" t="s">
        <v>200</v>
      </c>
      <c r="AB679">
        <v>204</v>
      </c>
    </row>
    <row r="680" spans="26:28" x14ac:dyDescent="0.25">
      <c r="Z680">
        <v>1998</v>
      </c>
      <c r="AA680" t="s">
        <v>201</v>
      </c>
      <c r="AB680">
        <v>156</v>
      </c>
    </row>
    <row r="681" spans="26:28" x14ac:dyDescent="0.25">
      <c r="Z681">
        <v>1998</v>
      </c>
      <c r="AA681" t="s">
        <v>202</v>
      </c>
      <c r="AB681">
        <v>96</v>
      </c>
    </row>
    <row r="682" spans="26:28" x14ac:dyDescent="0.25">
      <c r="Z682">
        <v>1998</v>
      </c>
      <c r="AA682" t="s">
        <v>203</v>
      </c>
      <c r="AB682">
        <v>180</v>
      </c>
    </row>
    <row r="683" spans="26:28" x14ac:dyDescent="0.25">
      <c r="Z683">
        <v>1998</v>
      </c>
      <c r="AA683" t="s">
        <v>204</v>
      </c>
      <c r="AB683">
        <v>549</v>
      </c>
    </row>
    <row r="684" spans="26:28" x14ac:dyDescent="0.25">
      <c r="Z684">
        <v>1998</v>
      </c>
      <c r="AA684" t="s">
        <v>205</v>
      </c>
      <c r="AB684">
        <v>246</v>
      </c>
    </row>
    <row r="685" spans="26:28" x14ac:dyDescent="0.25">
      <c r="Z685">
        <v>1998</v>
      </c>
      <c r="AA685" t="s">
        <v>206</v>
      </c>
      <c r="AB685">
        <v>314</v>
      </c>
    </row>
    <row r="686" spans="26:28" x14ac:dyDescent="0.25">
      <c r="Z686">
        <v>1998</v>
      </c>
      <c r="AA686" t="s">
        <v>207</v>
      </c>
      <c r="AB686">
        <v>312</v>
      </c>
    </row>
    <row r="687" spans="26:28" x14ac:dyDescent="0.25">
      <c r="Z687">
        <v>2000</v>
      </c>
      <c r="AA687" t="s">
        <v>208</v>
      </c>
      <c r="AB687">
        <v>483</v>
      </c>
    </row>
    <row r="688" spans="26:28" x14ac:dyDescent="0.25">
      <c r="Z688">
        <v>1998</v>
      </c>
      <c r="AA688" t="s">
        <v>209</v>
      </c>
      <c r="AB688">
        <v>103</v>
      </c>
    </row>
    <row r="689" spans="26:28" x14ac:dyDescent="0.25">
      <c r="Z689">
        <v>1998</v>
      </c>
      <c r="AA689" t="s">
        <v>210</v>
      </c>
      <c r="AB689">
        <v>482</v>
      </c>
    </row>
    <row r="690" spans="26:28" x14ac:dyDescent="0.25">
      <c r="Z690">
        <v>1998</v>
      </c>
      <c r="AA690" t="s">
        <v>211</v>
      </c>
      <c r="AB690">
        <v>425</v>
      </c>
    </row>
    <row r="691" spans="26:28" x14ac:dyDescent="0.25">
      <c r="Z691">
        <v>1998</v>
      </c>
      <c r="AA691" t="s">
        <v>212</v>
      </c>
      <c r="AB691">
        <v>391</v>
      </c>
    </row>
    <row r="692" spans="26:28" x14ac:dyDescent="0.25">
      <c r="Z692">
        <v>1998</v>
      </c>
      <c r="AA692" t="s">
        <v>213</v>
      </c>
      <c r="AB692">
        <v>409</v>
      </c>
    </row>
    <row r="693" spans="26:28" x14ac:dyDescent="0.25">
      <c r="Z693">
        <v>1998</v>
      </c>
      <c r="AA693" t="s">
        <v>214</v>
      </c>
      <c r="AB693">
        <v>513</v>
      </c>
    </row>
    <row r="694" spans="26:28" x14ac:dyDescent="0.25">
      <c r="Z694">
        <v>1998</v>
      </c>
      <c r="AA694" t="s">
        <v>215</v>
      </c>
      <c r="AB694">
        <v>715</v>
      </c>
    </row>
    <row r="695" spans="26:28" x14ac:dyDescent="0.25">
      <c r="Z695">
        <v>1998</v>
      </c>
      <c r="AA695" t="s">
        <v>216</v>
      </c>
      <c r="AB695">
        <v>506</v>
      </c>
    </row>
    <row r="696" spans="26:28" x14ac:dyDescent="0.25">
      <c r="Z696">
        <v>1998</v>
      </c>
      <c r="AA696" t="s">
        <v>217</v>
      </c>
      <c r="AB696">
        <v>954</v>
      </c>
    </row>
    <row r="697" spans="26:28" x14ac:dyDescent="0.25">
      <c r="Z697">
        <v>1999</v>
      </c>
      <c r="AA697" t="s">
        <v>208</v>
      </c>
      <c r="AB697">
        <v>576</v>
      </c>
    </row>
    <row r="698" spans="26:28" x14ac:dyDescent="0.25">
      <c r="Z698">
        <v>1998</v>
      </c>
      <c r="AA698" t="s">
        <v>219</v>
      </c>
      <c r="AB698">
        <v>718</v>
      </c>
    </row>
    <row r="699" spans="26:28" x14ac:dyDescent="0.25">
      <c r="Z699">
        <v>1998</v>
      </c>
      <c r="AA699" t="s">
        <v>220</v>
      </c>
      <c r="AB699">
        <v>1034</v>
      </c>
    </row>
    <row r="700" spans="26:28" x14ac:dyDescent="0.25">
      <c r="Z700">
        <v>1998</v>
      </c>
      <c r="AA700" t="s">
        <v>221</v>
      </c>
      <c r="AB700">
        <v>565</v>
      </c>
    </row>
    <row r="701" spans="26:28" x14ac:dyDescent="0.25">
      <c r="Z701">
        <v>1998</v>
      </c>
      <c r="AA701" t="s">
        <v>222</v>
      </c>
      <c r="AB701">
        <v>855</v>
      </c>
    </row>
    <row r="702" spans="26:28" x14ac:dyDescent="0.25">
      <c r="Z702">
        <v>1998</v>
      </c>
      <c r="AA702" t="s">
        <v>223</v>
      </c>
      <c r="AB702">
        <v>1141</v>
      </c>
    </row>
    <row r="703" spans="26:28" x14ac:dyDescent="0.25">
      <c r="Z703">
        <v>1998</v>
      </c>
      <c r="AA703" t="s">
        <v>208</v>
      </c>
      <c r="AB703">
        <v>474</v>
      </c>
    </row>
    <row r="704" spans="26:28" x14ac:dyDescent="0.25">
      <c r="Z704">
        <v>1997</v>
      </c>
      <c r="AA704" t="s">
        <v>208</v>
      </c>
      <c r="AB704">
        <v>466</v>
      </c>
    </row>
    <row r="705" spans="26:28" x14ac:dyDescent="0.25">
      <c r="Z705">
        <v>1996</v>
      </c>
      <c r="AA705" t="s">
        <v>208</v>
      </c>
      <c r="AB705">
        <v>436</v>
      </c>
    </row>
    <row r="706" spans="26:28" x14ac:dyDescent="0.25">
      <c r="Z706">
        <v>1997</v>
      </c>
      <c r="AA706" t="s">
        <v>199</v>
      </c>
      <c r="AB706">
        <v>581</v>
      </c>
    </row>
    <row r="707" spans="26:28" x14ac:dyDescent="0.25">
      <c r="Z707">
        <v>1997</v>
      </c>
      <c r="AA707" t="s">
        <v>200</v>
      </c>
      <c r="AB707">
        <v>253</v>
      </c>
    </row>
    <row r="708" spans="26:28" x14ac:dyDescent="0.25">
      <c r="Z708">
        <v>1997</v>
      </c>
      <c r="AA708" t="s">
        <v>201</v>
      </c>
      <c r="AB708">
        <v>133</v>
      </c>
    </row>
    <row r="709" spans="26:28" x14ac:dyDescent="0.25">
      <c r="Z709">
        <v>1997</v>
      </c>
      <c r="AA709" t="s">
        <v>202</v>
      </c>
      <c r="AB709">
        <v>124</v>
      </c>
    </row>
    <row r="710" spans="26:28" x14ac:dyDescent="0.25">
      <c r="Z710">
        <v>1997</v>
      </c>
      <c r="AA710" t="s">
        <v>203</v>
      </c>
      <c r="AB710">
        <v>206</v>
      </c>
    </row>
    <row r="711" spans="26:28" x14ac:dyDescent="0.25">
      <c r="Z711">
        <v>1997</v>
      </c>
      <c r="AA711" t="s">
        <v>204</v>
      </c>
      <c r="AB711">
        <v>587</v>
      </c>
    </row>
    <row r="712" spans="26:28" x14ac:dyDescent="0.25">
      <c r="Z712">
        <v>1997</v>
      </c>
      <c r="AA712" t="s">
        <v>205</v>
      </c>
      <c r="AB712">
        <v>270</v>
      </c>
    </row>
    <row r="713" spans="26:28" x14ac:dyDescent="0.25">
      <c r="Z713">
        <v>1997</v>
      </c>
      <c r="AA713" t="s">
        <v>206</v>
      </c>
      <c r="AB713">
        <v>280</v>
      </c>
    </row>
    <row r="714" spans="26:28" x14ac:dyDescent="0.25">
      <c r="Z714">
        <v>1997</v>
      </c>
      <c r="AA714" t="s">
        <v>207</v>
      </c>
      <c r="AB714">
        <v>291</v>
      </c>
    </row>
    <row r="715" spans="26:28" x14ac:dyDescent="0.25">
      <c r="Z715">
        <v>1995</v>
      </c>
      <c r="AA715" t="s">
        <v>208</v>
      </c>
      <c r="AB715">
        <v>573</v>
      </c>
    </row>
    <row r="716" spans="26:28" x14ac:dyDescent="0.25">
      <c r="Z716">
        <v>1997</v>
      </c>
      <c r="AA716" t="s">
        <v>209</v>
      </c>
      <c r="AB716">
        <v>75</v>
      </c>
    </row>
    <row r="717" spans="26:28" x14ac:dyDescent="0.25">
      <c r="Z717">
        <v>1997</v>
      </c>
      <c r="AA717" t="s">
        <v>210</v>
      </c>
      <c r="AB717">
        <v>471</v>
      </c>
    </row>
    <row r="718" spans="26:28" x14ac:dyDescent="0.25">
      <c r="Z718">
        <v>1997</v>
      </c>
      <c r="AA718" t="s">
        <v>211</v>
      </c>
      <c r="AB718">
        <v>427</v>
      </c>
    </row>
    <row r="719" spans="26:28" x14ac:dyDescent="0.25">
      <c r="Z719">
        <v>1997</v>
      </c>
      <c r="AA719" t="s">
        <v>212</v>
      </c>
      <c r="AB719">
        <v>378</v>
      </c>
    </row>
    <row r="720" spans="26:28" x14ac:dyDescent="0.25">
      <c r="Z720">
        <v>1997</v>
      </c>
      <c r="AA720" t="s">
        <v>213</v>
      </c>
      <c r="AB720">
        <v>465</v>
      </c>
    </row>
    <row r="721" spans="26:28" x14ac:dyDescent="0.25">
      <c r="Z721">
        <v>1997</v>
      </c>
      <c r="AA721" t="s">
        <v>214</v>
      </c>
      <c r="AB721">
        <v>512</v>
      </c>
    </row>
    <row r="722" spans="26:28" x14ac:dyDescent="0.25">
      <c r="Z722">
        <v>1997</v>
      </c>
      <c r="AA722" t="s">
        <v>215</v>
      </c>
      <c r="AB722">
        <v>738</v>
      </c>
    </row>
    <row r="723" spans="26:28" x14ac:dyDescent="0.25">
      <c r="Z723">
        <v>1997</v>
      </c>
      <c r="AA723" t="s">
        <v>216</v>
      </c>
      <c r="AB723">
        <v>536</v>
      </c>
    </row>
    <row r="724" spans="26:28" x14ac:dyDescent="0.25">
      <c r="Z724">
        <v>1997</v>
      </c>
      <c r="AA724" t="s">
        <v>217</v>
      </c>
      <c r="AB724">
        <v>959</v>
      </c>
    </row>
    <row r="725" spans="26:28" x14ac:dyDescent="0.25">
      <c r="Z725">
        <v>1994</v>
      </c>
      <c r="AA725" t="s">
        <v>208</v>
      </c>
      <c r="AB725">
        <v>506</v>
      </c>
    </row>
    <row r="726" spans="26:28" x14ac:dyDescent="0.25">
      <c r="Z726">
        <v>1997</v>
      </c>
      <c r="AA726" t="s">
        <v>219</v>
      </c>
      <c r="AB726">
        <v>722</v>
      </c>
    </row>
    <row r="727" spans="26:28" x14ac:dyDescent="0.25">
      <c r="Z727">
        <v>1997</v>
      </c>
      <c r="AA727" t="s">
        <v>220</v>
      </c>
      <c r="AB727">
        <v>1046</v>
      </c>
    </row>
    <row r="728" spans="26:28" x14ac:dyDescent="0.25">
      <c r="Z728">
        <v>1997</v>
      </c>
      <c r="AA728" t="s">
        <v>221</v>
      </c>
      <c r="AB728">
        <v>551</v>
      </c>
    </row>
    <row r="729" spans="26:28" x14ac:dyDescent="0.25">
      <c r="Z729">
        <v>1997</v>
      </c>
      <c r="AA729" t="s">
        <v>222</v>
      </c>
      <c r="AB729">
        <v>854</v>
      </c>
    </row>
    <row r="730" spans="26:28" x14ac:dyDescent="0.25">
      <c r="Z730">
        <v>1997</v>
      </c>
      <c r="AA730" t="s">
        <v>223</v>
      </c>
      <c r="AB730">
        <v>1177</v>
      </c>
    </row>
    <row r="731" spans="26:28" x14ac:dyDescent="0.25">
      <c r="Z731">
        <v>1993</v>
      </c>
      <c r="AA731" t="s">
        <v>208</v>
      </c>
      <c r="AB731">
        <v>544</v>
      </c>
    </row>
    <row r="732" spans="26:28" x14ac:dyDescent="0.25">
      <c r="Z732">
        <v>1992</v>
      </c>
      <c r="AA732" t="s">
        <v>208</v>
      </c>
      <c r="AB732">
        <v>621</v>
      </c>
    </row>
    <row r="733" spans="26:28" x14ac:dyDescent="0.25">
      <c r="Z733">
        <v>1991</v>
      </c>
      <c r="AA733" t="s">
        <v>208</v>
      </c>
      <c r="AB733">
        <v>526</v>
      </c>
    </row>
    <row r="734" spans="26:28" x14ac:dyDescent="0.25">
      <c r="Z734">
        <v>1996</v>
      </c>
      <c r="AA734" t="s">
        <v>199</v>
      </c>
      <c r="AB734">
        <v>1048</v>
      </c>
    </row>
    <row r="735" spans="26:28" x14ac:dyDescent="0.25">
      <c r="Z735">
        <v>1996</v>
      </c>
      <c r="AA735" t="s">
        <v>200</v>
      </c>
      <c r="AB735">
        <v>275</v>
      </c>
    </row>
    <row r="736" spans="26:28" x14ac:dyDescent="0.25">
      <c r="Z736">
        <v>1996</v>
      </c>
      <c r="AA736" t="s">
        <v>201</v>
      </c>
      <c r="AB736">
        <v>136</v>
      </c>
    </row>
    <row r="737" spans="26:28" x14ac:dyDescent="0.25">
      <c r="Z737">
        <v>1996</v>
      </c>
      <c r="AA737" t="s">
        <v>202</v>
      </c>
      <c r="AB737">
        <v>196</v>
      </c>
    </row>
    <row r="738" spans="26:28" x14ac:dyDescent="0.25">
      <c r="Z738">
        <v>1996</v>
      </c>
      <c r="AA738" t="s">
        <v>203</v>
      </c>
      <c r="AB738">
        <v>206</v>
      </c>
    </row>
    <row r="739" spans="26:28" x14ac:dyDescent="0.25">
      <c r="Z739">
        <v>1996</v>
      </c>
      <c r="AA739" t="s">
        <v>204</v>
      </c>
      <c r="AB739">
        <v>638</v>
      </c>
    </row>
    <row r="740" spans="26:28" x14ac:dyDescent="0.25">
      <c r="Z740">
        <v>1996</v>
      </c>
      <c r="AA740" t="s">
        <v>205</v>
      </c>
      <c r="AB740">
        <v>253</v>
      </c>
    </row>
    <row r="741" spans="26:28" x14ac:dyDescent="0.25">
      <c r="Z741">
        <v>1996</v>
      </c>
      <c r="AA741" t="s">
        <v>206</v>
      </c>
      <c r="AB741">
        <v>180</v>
      </c>
    </row>
    <row r="742" spans="26:28" x14ac:dyDescent="0.25">
      <c r="Z742">
        <v>1996</v>
      </c>
      <c r="AA742" t="s">
        <v>207</v>
      </c>
      <c r="AB742">
        <v>320</v>
      </c>
    </row>
    <row r="743" spans="26:28" x14ac:dyDescent="0.25">
      <c r="Z743">
        <v>1990</v>
      </c>
      <c r="AA743" t="s">
        <v>208</v>
      </c>
      <c r="AB743">
        <v>519</v>
      </c>
    </row>
    <row r="744" spans="26:28" x14ac:dyDescent="0.25">
      <c r="Z744">
        <v>1996</v>
      </c>
      <c r="AA744" t="s">
        <v>209</v>
      </c>
      <c r="AB744">
        <v>91</v>
      </c>
    </row>
    <row r="745" spans="26:28" x14ac:dyDescent="0.25">
      <c r="Z745">
        <v>1996</v>
      </c>
      <c r="AA745" t="s">
        <v>210</v>
      </c>
      <c r="AB745">
        <v>474</v>
      </c>
    </row>
    <row r="746" spans="26:28" x14ac:dyDescent="0.25">
      <c r="Z746">
        <v>1996</v>
      </c>
      <c r="AA746" t="s">
        <v>211</v>
      </c>
      <c r="AB746">
        <v>388</v>
      </c>
    </row>
    <row r="747" spans="26:28" x14ac:dyDescent="0.25">
      <c r="Z747">
        <v>1996</v>
      </c>
      <c r="AA747" t="s">
        <v>212</v>
      </c>
      <c r="AB747">
        <v>360</v>
      </c>
    </row>
    <row r="748" spans="26:28" x14ac:dyDescent="0.25">
      <c r="Z748">
        <v>1996</v>
      </c>
      <c r="AA748" t="s">
        <v>213</v>
      </c>
      <c r="AB748">
        <v>594</v>
      </c>
    </row>
    <row r="749" spans="26:28" x14ac:dyDescent="0.25">
      <c r="Z749">
        <v>1996</v>
      </c>
      <c r="AA749" t="s">
        <v>214</v>
      </c>
      <c r="AB749">
        <v>521</v>
      </c>
    </row>
    <row r="750" spans="26:28" x14ac:dyDescent="0.25">
      <c r="Z750">
        <v>1996</v>
      </c>
      <c r="AA750" t="s">
        <v>215</v>
      </c>
      <c r="AB750">
        <v>734</v>
      </c>
    </row>
    <row r="751" spans="26:28" x14ac:dyDescent="0.25">
      <c r="Z751">
        <v>1996</v>
      </c>
      <c r="AA751" t="s">
        <v>216</v>
      </c>
      <c r="AB751">
        <v>539</v>
      </c>
    </row>
    <row r="752" spans="26:28" x14ac:dyDescent="0.25">
      <c r="Z752">
        <v>1996</v>
      </c>
      <c r="AA752" t="s">
        <v>217</v>
      </c>
      <c r="AB752">
        <v>996</v>
      </c>
    </row>
    <row r="753" spans="26:28" x14ac:dyDescent="0.25">
      <c r="Z753">
        <v>2022</v>
      </c>
      <c r="AA753" t="s">
        <v>198</v>
      </c>
      <c r="AB753">
        <v>7</v>
      </c>
    </row>
    <row r="754" spans="26:28" x14ac:dyDescent="0.25">
      <c r="Z754">
        <v>1996</v>
      </c>
      <c r="AA754" t="s">
        <v>219</v>
      </c>
      <c r="AB754">
        <v>774</v>
      </c>
    </row>
    <row r="755" spans="26:28" x14ac:dyDescent="0.25">
      <c r="Z755">
        <v>1996</v>
      </c>
      <c r="AA755" t="s">
        <v>220</v>
      </c>
      <c r="AB755">
        <v>991</v>
      </c>
    </row>
    <row r="756" spans="26:28" x14ac:dyDescent="0.25">
      <c r="Z756">
        <v>1996</v>
      </c>
      <c r="AA756" t="s">
        <v>221</v>
      </c>
      <c r="AB756">
        <v>541</v>
      </c>
    </row>
    <row r="757" spans="26:28" x14ac:dyDescent="0.25">
      <c r="Z757">
        <v>1996</v>
      </c>
      <c r="AA757" t="s">
        <v>222</v>
      </c>
      <c r="AB757">
        <v>845</v>
      </c>
    </row>
    <row r="758" spans="26:28" x14ac:dyDescent="0.25">
      <c r="Z758">
        <v>1996</v>
      </c>
      <c r="AA758" t="s">
        <v>223</v>
      </c>
      <c r="AB758">
        <v>1214</v>
      </c>
    </row>
    <row r="759" spans="26:28" x14ac:dyDescent="0.25">
      <c r="Z759">
        <v>2021</v>
      </c>
      <c r="AA759" t="s">
        <v>198</v>
      </c>
      <c r="AB759">
        <v>9</v>
      </c>
    </row>
    <row r="760" spans="26:28" x14ac:dyDescent="0.25">
      <c r="Z760">
        <v>2020</v>
      </c>
      <c r="AA760" t="s">
        <v>198</v>
      </c>
      <c r="AB760">
        <v>8</v>
      </c>
    </row>
    <row r="761" spans="26:28" x14ac:dyDescent="0.25">
      <c r="Z761">
        <v>2019</v>
      </c>
      <c r="AA761" t="s">
        <v>198</v>
      </c>
      <c r="AB761">
        <v>10</v>
      </c>
    </row>
    <row r="762" spans="26:28" x14ac:dyDescent="0.25">
      <c r="Z762">
        <v>1995</v>
      </c>
      <c r="AA762" t="s">
        <v>199</v>
      </c>
      <c r="AB762">
        <v>1058</v>
      </c>
    </row>
    <row r="763" spans="26:28" x14ac:dyDescent="0.25">
      <c r="Z763">
        <v>1995</v>
      </c>
      <c r="AA763" t="s">
        <v>200</v>
      </c>
      <c r="AB763">
        <v>222</v>
      </c>
    </row>
    <row r="764" spans="26:28" x14ac:dyDescent="0.25">
      <c r="Z764">
        <v>1995</v>
      </c>
      <c r="AA764" t="s">
        <v>201</v>
      </c>
      <c r="AB764">
        <v>136</v>
      </c>
    </row>
    <row r="765" spans="26:28" x14ac:dyDescent="0.25">
      <c r="Z765">
        <v>1995</v>
      </c>
      <c r="AA765" t="s">
        <v>202</v>
      </c>
      <c r="AB765">
        <v>122</v>
      </c>
    </row>
    <row r="766" spans="26:28" x14ac:dyDescent="0.25">
      <c r="Z766">
        <v>1995</v>
      </c>
      <c r="AA766" t="s">
        <v>203</v>
      </c>
      <c r="AB766">
        <v>199</v>
      </c>
    </row>
    <row r="767" spans="26:28" x14ac:dyDescent="0.25">
      <c r="Z767">
        <v>1995</v>
      </c>
      <c r="AA767" t="s">
        <v>204</v>
      </c>
      <c r="AB767">
        <v>618</v>
      </c>
    </row>
    <row r="768" spans="26:28" x14ac:dyDescent="0.25">
      <c r="Z768">
        <v>1995</v>
      </c>
      <c r="AA768" t="s">
        <v>205</v>
      </c>
      <c r="AB768">
        <v>256</v>
      </c>
    </row>
    <row r="769" spans="26:28" x14ac:dyDescent="0.25">
      <c r="Z769">
        <v>1995</v>
      </c>
      <c r="AA769" t="s">
        <v>206</v>
      </c>
      <c r="AB769">
        <v>247</v>
      </c>
    </row>
    <row r="770" spans="26:28" x14ac:dyDescent="0.25">
      <c r="Z770">
        <v>1995</v>
      </c>
      <c r="AA770" t="s">
        <v>207</v>
      </c>
      <c r="AB770">
        <v>347</v>
      </c>
    </row>
    <row r="771" spans="26:28" x14ac:dyDescent="0.25">
      <c r="Z771">
        <v>2018</v>
      </c>
      <c r="AA771" t="s">
        <v>198</v>
      </c>
      <c r="AB771">
        <v>11</v>
      </c>
    </row>
    <row r="772" spans="26:28" x14ac:dyDescent="0.25">
      <c r="Z772">
        <v>1995</v>
      </c>
      <c r="AA772" t="s">
        <v>209</v>
      </c>
      <c r="AB772">
        <v>55</v>
      </c>
    </row>
    <row r="773" spans="26:28" x14ac:dyDescent="0.25">
      <c r="Z773">
        <v>1995</v>
      </c>
      <c r="AA773" t="s">
        <v>210</v>
      </c>
      <c r="AB773">
        <v>476</v>
      </c>
    </row>
    <row r="774" spans="26:28" x14ac:dyDescent="0.25">
      <c r="Z774">
        <v>1995</v>
      </c>
      <c r="AA774" t="s">
        <v>211</v>
      </c>
      <c r="AB774">
        <v>496</v>
      </c>
    </row>
    <row r="775" spans="26:28" x14ac:dyDescent="0.25">
      <c r="Z775">
        <v>1995</v>
      </c>
      <c r="AA775" t="s">
        <v>212</v>
      </c>
      <c r="AB775">
        <v>398</v>
      </c>
    </row>
    <row r="776" spans="26:28" x14ac:dyDescent="0.25">
      <c r="Z776">
        <v>1995</v>
      </c>
      <c r="AA776" t="s">
        <v>213</v>
      </c>
      <c r="AB776">
        <v>587</v>
      </c>
    </row>
    <row r="777" spans="26:28" x14ac:dyDescent="0.25">
      <c r="Z777">
        <v>1995</v>
      </c>
      <c r="AA777" t="s">
        <v>214</v>
      </c>
      <c r="AB777">
        <v>541</v>
      </c>
    </row>
    <row r="778" spans="26:28" x14ac:dyDescent="0.25">
      <c r="Z778">
        <v>1995</v>
      </c>
      <c r="AA778" t="s">
        <v>215</v>
      </c>
      <c r="AB778">
        <v>747</v>
      </c>
    </row>
    <row r="779" spans="26:28" x14ac:dyDescent="0.25">
      <c r="Z779">
        <v>1995</v>
      </c>
      <c r="AA779" t="s">
        <v>216</v>
      </c>
      <c r="AB779">
        <v>566</v>
      </c>
    </row>
    <row r="780" spans="26:28" x14ac:dyDescent="0.25">
      <c r="Z780">
        <v>1995</v>
      </c>
      <c r="AA780" t="s">
        <v>217</v>
      </c>
      <c r="AB780">
        <v>978</v>
      </c>
    </row>
    <row r="781" spans="26:28" x14ac:dyDescent="0.25">
      <c r="Z781">
        <v>2017</v>
      </c>
      <c r="AA781" t="s">
        <v>198</v>
      </c>
      <c r="AB781">
        <v>11</v>
      </c>
    </row>
    <row r="782" spans="26:28" x14ac:dyDescent="0.25">
      <c r="Z782">
        <v>1995</v>
      </c>
      <c r="AA782" t="s">
        <v>219</v>
      </c>
      <c r="AB782">
        <v>768</v>
      </c>
    </row>
    <row r="783" spans="26:28" x14ac:dyDescent="0.25">
      <c r="Z783">
        <v>1995</v>
      </c>
      <c r="AA783" t="s">
        <v>220</v>
      </c>
      <c r="AB783">
        <v>1041</v>
      </c>
    </row>
    <row r="784" spans="26:28" x14ac:dyDescent="0.25">
      <c r="Z784">
        <v>1995</v>
      </c>
      <c r="AA784" t="s">
        <v>221</v>
      </c>
      <c r="AB784">
        <v>569</v>
      </c>
    </row>
    <row r="785" spans="26:28" x14ac:dyDescent="0.25">
      <c r="Z785">
        <v>1995</v>
      </c>
      <c r="AA785" t="s">
        <v>222</v>
      </c>
      <c r="AB785">
        <v>834</v>
      </c>
    </row>
    <row r="786" spans="26:28" x14ac:dyDescent="0.25">
      <c r="Z786">
        <v>1995</v>
      </c>
      <c r="AA786" t="s">
        <v>223</v>
      </c>
      <c r="AB786">
        <v>1197</v>
      </c>
    </row>
    <row r="787" spans="26:28" x14ac:dyDescent="0.25">
      <c r="Z787">
        <v>2016</v>
      </c>
      <c r="AA787" t="s">
        <v>198</v>
      </c>
      <c r="AB787">
        <v>11</v>
      </c>
    </row>
    <row r="788" spans="26:28" x14ac:dyDescent="0.25">
      <c r="Z788">
        <v>2015</v>
      </c>
      <c r="AA788" t="s">
        <v>198</v>
      </c>
      <c r="AB788">
        <v>9</v>
      </c>
    </row>
    <row r="789" spans="26:28" x14ac:dyDescent="0.25">
      <c r="Z789">
        <v>2014</v>
      </c>
      <c r="AA789" t="s">
        <v>198</v>
      </c>
      <c r="AB789">
        <v>11</v>
      </c>
    </row>
    <row r="790" spans="26:28" x14ac:dyDescent="0.25">
      <c r="Z790">
        <v>1994</v>
      </c>
      <c r="AA790" t="s">
        <v>199</v>
      </c>
      <c r="AB790">
        <v>522</v>
      </c>
    </row>
    <row r="791" spans="26:28" x14ac:dyDescent="0.25">
      <c r="Z791">
        <v>1994</v>
      </c>
      <c r="AA791" t="s">
        <v>200</v>
      </c>
      <c r="AB791">
        <v>249</v>
      </c>
    </row>
    <row r="792" spans="26:28" x14ac:dyDescent="0.25">
      <c r="Z792">
        <v>1994</v>
      </c>
      <c r="AA792" t="s">
        <v>201</v>
      </c>
      <c r="AB792">
        <v>148</v>
      </c>
    </row>
    <row r="793" spans="26:28" x14ac:dyDescent="0.25">
      <c r="Z793">
        <v>1994</v>
      </c>
      <c r="AA793" t="s">
        <v>202</v>
      </c>
      <c r="AB793">
        <v>180</v>
      </c>
    </row>
    <row r="794" spans="26:28" x14ac:dyDescent="0.25">
      <c r="Z794">
        <v>1994</v>
      </c>
      <c r="AA794" t="s">
        <v>203</v>
      </c>
      <c r="AB794">
        <v>190</v>
      </c>
    </row>
    <row r="795" spans="26:28" x14ac:dyDescent="0.25">
      <c r="Z795">
        <v>1994</v>
      </c>
      <c r="AA795" t="s">
        <v>204</v>
      </c>
      <c r="AB795">
        <v>643</v>
      </c>
    </row>
    <row r="796" spans="26:28" x14ac:dyDescent="0.25">
      <c r="Z796">
        <v>1994</v>
      </c>
      <c r="AA796" t="s">
        <v>205</v>
      </c>
      <c r="AB796">
        <v>280</v>
      </c>
    </row>
    <row r="797" spans="26:28" x14ac:dyDescent="0.25">
      <c r="Z797">
        <v>1994</v>
      </c>
      <c r="AA797" t="s">
        <v>206</v>
      </c>
      <c r="AB797">
        <v>222</v>
      </c>
    </row>
    <row r="798" spans="26:28" x14ac:dyDescent="0.25">
      <c r="Z798">
        <v>1994</v>
      </c>
      <c r="AA798" t="s">
        <v>207</v>
      </c>
      <c r="AB798">
        <v>359</v>
      </c>
    </row>
    <row r="799" spans="26:28" x14ac:dyDescent="0.25">
      <c r="Z799">
        <v>2013</v>
      </c>
      <c r="AA799" t="s">
        <v>198</v>
      </c>
      <c r="AB799">
        <v>12</v>
      </c>
    </row>
    <row r="800" spans="26:28" x14ac:dyDescent="0.25">
      <c r="Z800">
        <v>1994</v>
      </c>
      <c r="AA800" t="s">
        <v>209</v>
      </c>
      <c r="AB800">
        <v>97</v>
      </c>
    </row>
    <row r="801" spans="26:28" x14ac:dyDescent="0.25">
      <c r="Z801">
        <v>1994</v>
      </c>
      <c r="AA801" t="s">
        <v>210</v>
      </c>
      <c r="AB801">
        <v>470</v>
      </c>
    </row>
    <row r="802" spans="26:28" x14ac:dyDescent="0.25">
      <c r="Z802">
        <v>1994</v>
      </c>
      <c r="AA802" t="s">
        <v>211</v>
      </c>
      <c r="AB802">
        <v>450</v>
      </c>
    </row>
    <row r="803" spans="26:28" x14ac:dyDescent="0.25">
      <c r="Z803">
        <v>1994</v>
      </c>
      <c r="AA803" t="s">
        <v>212</v>
      </c>
      <c r="AB803">
        <v>392</v>
      </c>
    </row>
    <row r="804" spans="26:28" x14ac:dyDescent="0.25">
      <c r="Z804">
        <v>1994</v>
      </c>
      <c r="AA804" t="s">
        <v>213</v>
      </c>
      <c r="AB804">
        <v>660</v>
      </c>
    </row>
    <row r="805" spans="26:28" x14ac:dyDescent="0.25">
      <c r="Z805">
        <v>1994</v>
      </c>
      <c r="AA805" t="s">
        <v>214</v>
      </c>
      <c r="AB805">
        <v>512</v>
      </c>
    </row>
    <row r="806" spans="26:28" x14ac:dyDescent="0.25">
      <c r="Z806">
        <v>1994</v>
      </c>
      <c r="AA806" t="s">
        <v>215</v>
      </c>
      <c r="AB806">
        <v>740</v>
      </c>
    </row>
    <row r="807" spans="26:28" x14ac:dyDescent="0.25">
      <c r="Z807">
        <v>1994</v>
      </c>
      <c r="AA807" t="s">
        <v>216</v>
      </c>
      <c r="AB807">
        <v>577</v>
      </c>
    </row>
    <row r="808" spans="26:28" x14ac:dyDescent="0.25">
      <c r="Z808">
        <v>1994</v>
      </c>
      <c r="AA808" t="s">
        <v>217</v>
      </c>
      <c r="AB808">
        <v>1178</v>
      </c>
    </row>
    <row r="809" spans="26:28" x14ac:dyDescent="0.25">
      <c r="Z809">
        <v>2012</v>
      </c>
      <c r="AA809" t="s">
        <v>198</v>
      </c>
      <c r="AB809">
        <v>12</v>
      </c>
    </row>
    <row r="810" spans="26:28" x14ac:dyDescent="0.25">
      <c r="Z810">
        <v>1994</v>
      </c>
      <c r="AA810" t="s">
        <v>219</v>
      </c>
      <c r="AB810">
        <v>757</v>
      </c>
    </row>
    <row r="811" spans="26:28" x14ac:dyDescent="0.25">
      <c r="Z811">
        <v>1994</v>
      </c>
      <c r="AA811" t="s">
        <v>220</v>
      </c>
      <c r="AB811">
        <v>1100</v>
      </c>
    </row>
    <row r="812" spans="26:28" x14ac:dyDescent="0.25">
      <c r="Z812">
        <v>1994</v>
      </c>
      <c r="AA812" t="s">
        <v>221</v>
      </c>
      <c r="AB812">
        <v>607</v>
      </c>
    </row>
    <row r="813" spans="26:28" x14ac:dyDescent="0.25">
      <c r="Z813">
        <v>1994</v>
      </c>
      <c r="AA813" t="s">
        <v>222</v>
      </c>
      <c r="AB813">
        <v>844</v>
      </c>
    </row>
    <row r="814" spans="26:28" x14ac:dyDescent="0.25">
      <c r="Z814">
        <v>1994</v>
      </c>
      <c r="AA814" t="s">
        <v>223</v>
      </c>
      <c r="AB814">
        <v>1154</v>
      </c>
    </row>
    <row r="815" spans="26:28" x14ac:dyDescent="0.25">
      <c r="Z815">
        <v>2011</v>
      </c>
      <c r="AA815" t="s">
        <v>198</v>
      </c>
      <c r="AB815">
        <v>16</v>
      </c>
    </row>
    <row r="816" spans="26:28" x14ac:dyDescent="0.25">
      <c r="Z816">
        <v>2010</v>
      </c>
      <c r="AA816" t="s">
        <v>198</v>
      </c>
      <c r="AB816">
        <v>22</v>
      </c>
    </row>
    <row r="817" spans="26:28" x14ac:dyDescent="0.25">
      <c r="Z817">
        <v>2009</v>
      </c>
      <c r="AA817" t="s">
        <v>198</v>
      </c>
      <c r="AB817">
        <v>17</v>
      </c>
    </row>
    <row r="818" spans="26:28" x14ac:dyDescent="0.25">
      <c r="Z818">
        <v>1993</v>
      </c>
      <c r="AA818" t="s">
        <v>199</v>
      </c>
      <c r="AB818">
        <v>625</v>
      </c>
    </row>
    <row r="819" spans="26:28" x14ac:dyDescent="0.25">
      <c r="Z819">
        <v>1993</v>
      </c>
      <c r="AA819" t="s">
        <v>200</v>
      </c>
      <c r="AB819">
        <v>189</v>
      </c>
    </row>
    <row r="820" spans="26:28" x14ac:dyDescent="0.25">
      <c r="Z820">
        <v>1993</v>
      </c>
      <c r="AA820" t="s">
        <v>201</v>
      </c>
      <c r="AB820">
        <v>161</v>
      </c>
    </row>
    <row r="821" spans="26:28" x14ac:dyDescent="0.25">
      <c r="Z821">
        <v>1993</v>
      </c>
      <c r="AA821" t="s">
        <v>202</v>
      </c>
      <c r="AB821">
        <v>242</v>
      </c>
    </row>
    <row r="822" spans="26:28" x14ac:dyDescent="0.25">
      <c r="Z822">
        <v>1993</v>
      </c>
      <c r="AA822" t="s">
        <v>203</v>
      </c>
      <c r="AB822">
        <v>172</v>
      </c>
    </row>
    <row r="823" spans="26:28" x14ac:dyDescent="0.25">
      <c r="Z823">
        <v>1993</v>
      </c>
      <c r="AA823" t="s">
        <v>204</v>
      </c>
      <c r="AB823">
        <v>643</v>
      </c>
    </row>
    <row r="824" spans="26:28" x14ac:dyDescent="0.25">
      <c r="Z824">
        <v>1993</v>
      </c>
      <c r="AA824" t="s">
        <v>205</v>
      </c>
      <c r="AB824">
        <v>331</v>
      </c>
    </row>
    <row r="825" spans="26:28" x14ac:dyDescent="0.25">
      <c r="Z825">
        <v>1993</v>
      </c>
      <c r="AA825" t="s">
        <v>206</v>
      </c>
      <c r="AB825">
        <v>331</v>
      </c>
    </row>
    <row r="826" spans="26:28" x14ac:dyDescent="0.25">
      <c r="Z826">
        <v>1993</v>
      </c>
      <c r="AA826" t="s">
        <v>207</v>
      </c>
      <c r="AB826">
        <v>350</v>
      </c>
    </row>
    <row r="827" spans="26:28" x14ac:dyDescent="0.25">
      <c r="Z827">
        <v>2008</v>
      </c>
      <c r="AA827" t="s">
        <v>198</v>
      </c>
      <c r="AB827">
        <v>17</v>
      </c>
    </row>
    <row r="828" spans="26:28" x14ac:dyDescent="0.25">
      <c r="Z828">
        <v>1993</v>
      </c>
      <c r="AA828" t="s">
        <v>209</v>
      </c>
      <c r="AB828">
        <v>86</v>
      </c>
    </row>
    <row r="829" spans="26:28" x14ac:dyDescent="0.25">
      <c r="Z829">
        <v>1993</v>
      </c>
      <c r="AA829" t="s">
        <v>210</v>
      </c>
      <c r="AB829">
        <v>491</v>
      </c>
    </row>
    <row r="830" spans="26:28" x14ac:dyDescent="0.25">
      <c r="Z830">
        <v>1993</v>
      </c>
      <c r="AA830" t="s">
        <v>211</v>
      </c>
      <c r="AB830">
        <v>457</v>
      </c>
    </row>
    <row r="831" spans="26:28" x14ac:dyDescent="0.25">
      <c r="Z831">
        <v>1993</v>
      </c>
      <c r="AA831" t="s">
        <v>212</v>
      </c>
      <c r="AB831">
        <v>435</v>
      </c>
    </row>
    <row r="832" spans="26:28" x14ac:dyDescent="0.25">
      <c r="Z832">
        <v>1993</v>
      </c>
      <c r="AA832" t="s">
        <v>213</v>
      </c>
      <c r="AB832">
        <v>671</v>
      </c>
    </row>
    <row r="833" spans="26:28" x14ac:dyDescent="0.25">
      <c r="Z833">
        <v>1993</v>
      </c>
      <c r="AA833" t="s">
        <v>214</v>
      </c>
      <c r="AB833">
        <v>518</v>
      </c>
    </row>
    <row r="834" spans="26:28" x14ac:dyDescent="0.25">
      <c r="Z834">
        <v>1993</v>
      </c>
      <c r="AA834" t="s">
        <v>215</v>
      </c>
      <c r="AB834">
        <v>751</v>
      </c>
    </row>
    <row r="835" spans="26:28" x14ac:dyDescent="0.25">
      <c r="Z835">
        <v>1993</v>
      </c>
      <c r="AA835" t="s">
        <v>216</v>
      </c>
      <c r="AB835">
        <v>571</v>
      </c>
    </row>
    <row r="836" spans="26:28" x14ac:dyDescent="0.25">
      <c r="Z836">
        <v>1993</v>
      </c>
      <c r="AA836" t="s">
        <v>217</v>
      </c>
      <c r="AB836">
        <v>1406</v>
      </c>
    </row>
    <row r="837" spans="26:28" x14ac:dyDescent="0.25">
      <c r="Z837">
        <v>2007</v>
      </c>
      <c r="AA837" t="s">
        <v>198</v>
      </c>
      <c r="AB837">
        <v>17</v>
      </c>
    </row>
    <row r="838" spans="26:28" x14ac:dyDescent="0.25">
      <c r="Z838">
        <v>1993</v>
      </c>
      <c r="AA838" t="s">
        <v>219</v>
      </c>
      <c r="AB838">
        <v>742</v>
      </c>
    </row>
    <row r="839" spans="26:28" x14ac:dyDescent="0.25">
      <c r="Z839">
        <v>1993</v>
      </c>
      <c r="AA839" t="s">
        <v>220</v>
      </c>
      <c r="AB839">
        <v>1118</v>
      </c>
    </row>
    <row r="840" spans="26:28" x14ac:dyDescent="0.25">
      <c r="Z840">
        <v>1993</v>
      </c>
      <c r="AA840" t="s">
        <v>221</v>
      </c>
      <c r="AB840">
        <v>696</v>
      </c>
    </row>
    <row r="841" spans="26:28" x14ac:dyDescent="0.25">
      <c r="Z841">
        <v>1993</v>
      </c>
      <c r="AA841" t="s">
        <v>222</v>
      </c>
      <c r="AB841">
        <v>839</v>
      </c>
    </row>
    <row r="842" spans="26:28" x14ac:dyDescent="0.25">
      <c r="Z842">
        <v>1993</v>
      </c>
      <c r="AA842" t="s">
        <v>223</v>
      </c>
      <c r="AB842">
        <v>1005</v>
      </c>
    </row>
    <row r="843" spans="26:28" x14ac:dyDescent="0.25">
      <c r="Z843">
        <v>2006</v>
      </c>
      <c r="AA843" t="s">
        <v>198</v>
      </c>
      <c r="AB843">
        <v>20</v>
      </c>
    </row>
    <row r="844" spans="26:28" x14ac:dyDescent="0.25">
      <c r="Z844">
        <v>2005</v>
      </c>
      <c r="AA844" t="s">
        <v>198</v>
      </c>
      <c r="AB844">
        <v>17</v>
      </c>
    </row>
    <row r="845" spans="26:28" x14ac:dyDescent="0.25">
      <c r="Z845">
        <v>2004</v>
      </c>
      <c r="AA845" t="s">
        <v>198</v>
      </c>
      <c r="AB845">
        <v>21</v>
      </c>
    </row>
    <row r="846" spans="26:28" x14ac:dyDescent="0.25">
      <c r="Z846">
        <v>1992</v>
      </c>
      <c r="AA846" t="s">
        <v>199</v>
      </c>
      <c r="AB846">
        <v>513</v>
      </c>
    </row>
    <row r="847" spans="26:28" x14ac:dyDescent="0.25">
      <c r="Z847">
        <v>1992</v>
      </c>
      <c r="AA847" t="s">
        <v>200</v>
      </c>
      <c r="AB847">
        <v>154</v>
      </c>
    </row>
    <row r="848" spans="26:28" x14ac:dyDescent="0.25">
      <c r="Z848">
        <v>1992</v>
      </c>
      <c r="AA848" t="s">
        <v>201</v>
      </c>
      <c r="AB848">
        <v>174</v>
      </c>
    </row>
    <row r="849" spans="26:28" x14ac:dyDescent="0.25">
      <c r="Z849">
        <v>1992</v>
      </c>
      <c r="AA849" t="s">
        <v>202</v>
      </c>
      <c r="AB849">
        <v>316</v>
      </c>
    </row>
    <row r="850" spans="26:28" x14ac:dyDescent="0.25">
      <c r="Z850">
        <v>1992</v>
      </c>
      <c r="AA850" t="s">
        <v>203</v>
      </c>
      <c r="AB850">
        <v>187</v>
      </c>
    </row>
    <row r="851" spans="26:28" x14ac:dyDescent="0.25">
      <c r="Z851">
        <v>1992</v>
      </c>
      <c r="AA851" t="s">
        <v>204</v>
      </c>
      <c r="AB851">
        <v>677</v>
      </c>
    </row>
    <row r="852" spans="26:28" x14ac:dyDescent="0.25">
      <c r="Z852">
        <v>1992</v>
      </c>
      <c r="AA852" t="s">
        <v>205</v>
      </c>
      <c r="AB852">
        <v>346</v>
      </c>
    </row>
    <row r="853" spans="26:28" x14ac:dyDescent="0.25">
      <c r="Z853">
        <v>1992</v>
      </c>
      <c r="AA853" t="s">
        <v>206</v>
      </c>
      <c r="AB853">
        <v>315</v>
      </c>
    </row>
    <row r="854" spans="26:28" x14ac:dyDescent="0.25">
      <c r="Z854">
        <v>1992</v>
      </c>
      <c r="AA854" t="s">
        <v>207</v>
      </c>
      <c r="AB854">
        <v>343</v>
      </c>
    </row>
    <row r="855" spans="26:28" x14ac:dyDescent="0.25">
      <c r="Z855">
        <v>2003</v>
      </c>
      <c r="AA855" t="s">
        <v>198</v>
      </c>
      <c r="AB855">
        <v>35</v>
      </c>
    </row>
    <row r="856" spans="26:28" x14ac:dyDescent="0.25">
      <c r="Z856">
        <v>1992</v>
      </c>
      <c r="AA856" t="s">
        <v>209</v>
      </c>
      <c r="AB856">
        <v>110</v>
      </c>
    </row>
    <row r="857" spans="26:28" x14ac:dyDescent="0.25">
      <c r="Z857">
        <v>1992</v>
      </c>
      <c r="AA857" t="s">
        <v>210</v>
      </c>
      <c r="AB857">
        <v>500</v>
      </c>
    </row>
    <row r="858" spans="26:28" x14ac:dyDescent="0.25">
      <c r="Z858">
        <v>1992</v>
      </c>
      <c r="AA858" t="s">
        <v>211</v>
      </c>
      <c r="AB858">
        <v>485</v>
      </c>
    </row>
    <row r="859" spans="26:28" x14ac:dyDescent="0.25">
      <c r="Z859">
        <v>1992</v>
      </c>
      <c r="AA859" t="s">
        <v>212</v>
      </c>
      <c r="AB859">
        <v>441</v>
      </c>
    </row>
    <row r="860" spans="26:28" x14ac:dyDescent="0.25">
      <c r="Z860">
        <v>1992</v>
      </c>
      <c r="AA860" t="s">
        <v>213</v>
      </c>
      <c r="AB860">
        <v>591</v>
      </c>
    </row>
    <row r="861" spans="26:28" x14ac:dyDescent="0.25">
      <c r="Z861">
        <v>1992</v>
      </c>
      <c r="AA861" t="s">
        <v>214</v>
      </c>
      <c r="AB861">
        <v>525</v>
      </c>
    </row>
    <row r="862" spans="26:28" x14ac:dyDescent="0.25">
      <c r="Z862">
        <v>1992</v>
      </c>
      <c r="AA862" t="s">
        <v>215</v>
      </c>
      <c r="AB862">
        <v>767</v>
      </c>
    </row>
    <row r="863" spans="26:28" x14ac:dyDescent="0.25">
      <c r="Z863">
        <v>1992</v>
      </c>
      <c r="AA863" t="s">
        <v>216</v>
      </c>
      <c r="AB863">
        <v>577</v>
      </c>
    </row>
    <row r="864" spans="26:28" x14ac:dyDescent="0.25">
      <c r="Z864">
        <v>1992</v>
      </c>
      <c r="AA864" t="s">
        <v>217</v>
      </c>
      <c r="AB864">
        <v>1035</v>
      </c>
    </row>
    <row r="865" spans="26:28" x14ac:dyDescent="0.25">
      <c r="Z865">
        <v>2002</v>
      </c>
      <c r="AA865" t="s">
        <v>198</v>
      </c>
      <c r="AB865">
        <v>26</v>
      </c>
    </row>
    <row r="866" spans="26:28" x14ac:dyDescent="0.25">
      <c r="Z866">
        <v>1992</v>
      </c>
      <c r="AA866" t="s">
        <v>219</v>
      </c>
      <c r="AB866">
        <v>757</v>
      </c>
    </row>
    <row r="867" spans="26:28" x14ac:dyDescent="0.25">
      <c r="Z867">
        <v>1992</v>
      </c>
      <c r="AA867" t="s">
        <v>220</v>
      </c>
      <c r="AB867">
        <v>1152</v>
      </c>
    </row>
    <row r="868" spans="26:28" x14ac:dyDescent="0.25">
      <c r="Z868">
        <v>1992</v>
      </c>
      <c r="AA868" t="s">
        <v>221</v>
      </c>
      <c r="AB868">
        <v>630</v>
      </c>
    </row>
    <row r="869" spans="26:28" x14ac:dyDescent="0.25">
      <c r="Z869">
        <v>1992</v>
      </c>
      <c r="AA869" t="s">
        <v>222</v>
      </c>
      <c r="AB869">
        <v>839</v>
      </c>
    </row>
    <row r="870" spans="26:28" x14ac:dyDescent="0.25">
      <c r="Z870">
        <v>1992</v>
      </c>
      <c r="AA870" t="s">
        <v>223</v>
      </c>
      <c r="AB870">
        <v>999</v>
      </c>
    </row>
    <row r="871" spans="26:28" x14ac:dyDescent="0.25">
      <c r="Z871">
        <v>2001</v>
      </c>
      <c r="AA871" t="s">
        <v>198</v>
      </c>
      <c r="AB871">
        <v>19</v>
      </c>
    </row>
    <row r="872" spans="26:28" x14ac:dyDescent="0.25">
      <c r="Z872">
        <v>2000</v>
      </c>
      <c r="AA872" t="s">
        <v>198</v>
      </c>
      <c r="AB872">
        <v>17</v>
      </c>
    </row>
    <row r="873" spans="26:28" x14ac:dyDescent="0.25">
      <c r="Z873">
        <v>1999</v>
      </c>
      <c r="AA873" t="s">
        <v>198</v>
      </c>
      <c r="AB873">
        <v>19</v>
      </c>
    </row>
    <row r="874" spans="26:28" x14ac:dyDescent="0.25">
      <c r="Z874">
        <v>1991</v>
      </c>
      <c r="AA874" t="s">
        <v>199</v>
      </c>
      <c r="AB874">
        <v>449</v>
      </c>
    </row>
    <row r="875" spans="26:28" x14ac:dyDescent="0.25">
      <c r="Z875">
        <v>1991</v>
      </c>
      <c r="AA875" t="s">
        <v>200</v>
      </c>
      <c r="AB875">
        <v>175</v>
      </c>
    </row>
    <row r="876" spans="26:28" x14ac:dyDescent="0.25">
      <c r="Z876">
        <v>1991</v>
      </c>
      <c r="AA876" t="s">
        <v>201</v>
      </c>
      <c r="AB876">
        <v>172</v>
      </c>
    </row>
    <row r="877" spans="26:28" x14ac:dyDescent="0.25">
      <c r="Z877">
        <v>1991</v>
      </c>
      <c r="AA877" t="s">
        <v>202</v>
      </c>
      <c r="AB877">
        <v>293</v>
      </c>
    </row>
    <row r="878" spans="26:28" x14ac:dyDescent="0.25">
      <c r="Z878">
        <v>1991</v>
      </c>
      <c r="AA878" t="s">
        <v>203</v>
      </c>
      <c r="AB878">
        <v>240</v>
      </c>
    </row>
    <row r="879" spans="26:28" x14ac:dyDescent="0.25">
      <c r="Z879">
        <v>1991</v>
      </c>
      <c r="AA879" t="s">
        <v>204</v>
      </c>
      <c r="AB879">
        <v>707</v>
      </c>
    </row>
    <row r="880" spans="26:28" x14ac:dyDescent="0.25">
      <c r="Z880">
        <v>1991</v>
      </c>
      <c r="AA880" t="s">
        <v>205</v>
      </c>
      <c r="AB880">
        <v>413</v>
      </c>
    </row>
    <row r="881" spans="26:28" x14ac:dyDescent="0.25">
      <c r="Z881">
        <v>1991</v>
      </c>
      <c r="AA881" t="s">
        <v>206</v>
      </c>
      <c r="AB881">
        <v>199</v>
      </c>
    </row>
    <row r="882" spans="26:28" x14ac:dyDescent="0.25">
      <c r="Z882">
        <v>1991</v>
      </c>
      <c r="AA882" t="s">
        <v>207</v>
      </c>
      <c r="AB882">
        <v>356</v>
      </c>
    </row>
    <row r="883" spans="26:28" x14ac:dyDescent="0.25">
      <c r="Z883">
        <v>1998</v>
      </c>
      <c r="AA883" t="s">
        <v>198</v>
      </c>
      <c r="AB883">
        <v>24</v>
      </c>
    </row>
    <row r="884" spans="26:28" x14ac:dyDescent="0.25">
      <c r="Z884">
        <v>1991</v>
      </c>
      <c r="AA884" t="s">
        <v>209</v>
      </c>
      <c r="AB884">
        <v>186</v>
      </c>
    </row>
    <row r="885" spans="26:28" x14ac:dyDescent="0.25">
      <c r="Z885">
        <v>1991</v>
      </c>
      <c r="AA885" t="s">
        <v>210</v>
      </c>
      <c r="AB885">
        <v>481</v>
      </c>
    </row>
    <row r="886" spans="26:28" x14ac:dyDescent="0.25">
      <c r="Z886">
        <v>1991</v>
      </c>
      <c r="AA886" t="s">
        <v>211</v>
      </c>
      <c r="AB886">
        <v>444</v>
      </c>
    </row>
    <row r="887" spans="26:28" x14ac:dyDescent="0.25">
      <c r="Z887">
        <v>1991</v>
      </c>
      <c r="AA887" t="s">
        <v>212</v>
      </c>
      <c r="AB887">
        <v>367</v>
      </c>
    </row>
    <row r="888" spans="26:28" x14ac:dyDescent="0.25">
      <c r="Z888">
        <v>1991</v>
      </c>
      <c r="AA888" t="s">
        <v>213</v>
      </c>
      <c r="AB888">
        <v>798</v>
      </c>
    </row>
    <row r="889" spans="26:28" x14ac:dyDescent="0.25">
      <c r="Z889">
        <v>1991</v>
      </c>
      <c r="AA889" t="s">
        <v>214</v>
      </c>
      <c r="AB889">
        <v>536</v>
      </c>
    </row>
    <row r="890" spans="26:28" x14ac:dyDescent="0.25">
      <c r="Z890">
        <v>1991</v>
      </c>
      <c r="AA890" t="s">
        <v>215</v>
      </c>
      <c r="AB890">
        <v>767</v>
      </c>
    </row>
    <row r="891" spans="26:28" x14ac:dyDescent="0.25">
      <c r="Z891">
        <v>1991</v>
      </c>
      <c r="AA891" t="s">
        <v>216</v>
      </c>
      <c r="AB891">
        <v>578</v>
      </c>
    </row>
    <row r="892" spans="26:28" x14ac:dyDescent="0.25">
      <c r="Z892">
        <v>1991</v>
      </c>
      <c r="AA892" t="s">
        <v>217</v>
      </c>
      <c r="AB892">
        <v>1131</v>
      </c>
    </row>
    <row r="893" spans="26:28" x14ac:dyDescent="0.25">
      <c r="Z893">
        <v>1997</v>
      </c>
      <c r="AA893" t="s">
        <v>198</v>
      </c>
      <c r="AB893">
        <v>22</v>
      </c>
    </row>
    <row r="894" spans="26:28" x14ac:dyDescent="0.25">
      <c r="Z894">
        <v>1991</v>
      </c>
      <c r="AA894" t="s">
        <v>219</v>
      </c>
      <c r="AB894">
        <v>760</v>
      </c>
    </row>
    <row r="895" spans="26:28" x14ac:dyDescent="0.25">
      <c r="Z895">
        <v>1991</v>
      </c>
      <c r="AA895" t="s">
        <v>220</v>
      </c>
      <c r="AB895">
        <v>1131</v>
      </c>
    </row>
    <row r="896" spans="26:28" x14ac:dyDescent="0.25">
      <c r="Z896">
        <v>1991</v>
      </c>
      <c r="AA896" t="s">
        <v>221</v>
      </c>
      <c r="AB896">
        <v>540</v>
      </c>
    </row>
    <row r="897" spans="26:28" x14ac:dyDescent="0.25">
      <c r="Z897">
        <v>1991</v>
      </c>
      <c r="AA897" t="s">
        <v>222</v>
      </c>
      <c r="AB897">
        <v>839</v>
      </c>
    </row>
    <row r="898" spans="26:28" x14ac:dyDescent="0.25">
      <c r="Z898">
        <v>1991</v>
      </c>
      <c r="AA898" t="s">
        <v>223</v>
      </c>
      <c r="AB898">
        <v>978</v>
      </c>
    </row>
    <row r="899" spans="26:28" x14ac:dyDescent="0.25">
      <c r="Z899">
        <v>1996</v>
      </c>
      <c r="AA899" t="s">
        <v>198</v>
      </c>
      <c r="AB899">
        <v>47</v>
      </c>
    </row>
    <row r="900" spans="26:28" x14ac:dyDescent="0.25">
      <c r="Z900">
        <v>1995</v>
      </c>
      <c r="AA900" t="s">
        <v>198</v>
      </c>
      <c r="AB900">
        <v>20</v>
      </c>
    </row>
    <row r="901" spans="26:28" x14ac:dyDescent="0.25">
      <c r="Z901">
        <v>1994</v>
      </c>
      <c r="AA901" t="s">
        <v>198</v>
      </c>
      <c r="AB901">
        <v>24</v>
      </c>
    </row>
    <row r="902" spans="26:28" x14ac:dyDescent="0.25">
      <c r="Z902">
        <v>1990</v>
      </c>
      <c r="AA902" t="s">
        <v>199</v>
      </c>
      <c r="AB902">
        <v>418</v>
      </c>
    </row>
    <row r="903" spans="26:28" x14ac:dyDescent="0.25">
      <c r="Z903">
        <v>1990</v>
      </c>
      <c r="AA903" t="s">
        <v>200</v>
      </c>
      <c r="AB903">
        <v>195</v>
      </c>
    </row>
    <row r="904" spans="26:28" x14ac:dyDescent="0.25">
      <c r="Z904">
        <v>1990</v>
      </c>
      <c r="AA904" t="s">
        <v>201</v>
      </c>
      <c r="AB904">
        <v>205</v>
      </c>
    </row>
    <row r="905" spans="26:28" x14ac:dyDescent="0.25">
      <c r="Z905">
        <v>1990</v>
      </c>
      <c r="AA905" t="s">
        <v>202</v>
      </c>
      <c r="AB905">
        <v>343</v>
      </c>
    </row>
    <row r="906" spans="26:28" x14ac:dyDescent="0.25">
      <c r="Z906">
        <v>1990</v>
      </c>
      <c r="AA906" t="s">
        <v>203</v>
      </c>
      <c r="AB906">
        <v>232</v>
      </c>
    </row>
    <row r="907" spans="26:28" x14ac:dyDescent="0.25">
      <c r="Z907">
        <v>1990</v>
      </c>
      <c r="AA907" t="s">
        <v>204</v>
      </c>
      <c r="AB907">
        <v>686</v>
      </c>
    </row>
    <row r="908" spans="26:28" x14ac:dyDescent="0.25">
      <c r="Z908">
        <v>1990</v>
      </c>
      <c r="AA908" t="s">
        <v>205</v>
      </c>
      <c r="AB908">
        <v>468</v>
      </c>
    </row>
    <row r="909" spans="26:28" x14ac:dyDescent="0.25">
      <c r="Z909">
        <v>1990</v>
      </c>
      <c r="AA909" t="s">
        <v>206</v>
      </c>
      <c r="AB909">
        <v>332</v>
      </c>
    </row>
    <row r="910" spans="26:28" x14ac:dyDescent="0.25">
      <c r="Z910">
        <v>1990</v>
      </c>
      <c r="AA910" t="s">
        <v>207</v>
      </c>
      <c r="AB910">
        <v>353</v>
      </c>
    </row>
    <row r="911" spans="26:28" x14ac:dyDescent="0.25">
      <c r="Z911">
        <v>1993</v>
      </c>
      <c r="AA911" t="s">
        <v>198</v>
      </c>
      <c r="AB911">
        <v>18</v>
      </c>
    </row>
    <row r="912" spans="26:28" x14ac:dyDescent="0.25">
      <c r="Z912">
        <v>1990</v>
      </c>
      <c r="AA912" t="s">
        <v>209</v>
      </c>
      <c r="AB912">
        <v>182</v>
      </c>
    </row>
    <row r="913" spans="26:28" x14ac:dyDescent="0.25">
      <c r="Z913">
        <v>1990</v>
      </c>
      <c r="AA913" t="s">
        <v>210</v>
      </c>
      <c r="AB913">
        <v>478</v>
      </c>
    </row>
    <row r="914" spans="26:28" x14ac:dyDescent="0.25">
      <c r="Z914">
        <v>1990</v>
      </c>
      <c r="AA914" t="s">
        <v>211</v>
      </c>
      <c r="AB914">
        <v>449</v>
      </c>
    </row>
    <row r="915" spans="26:28" x14ac:dyDescent="0.25">
      <c r="Z915">
        <v>1990</v>
      </c>
      <c r="AA915" t="s">
        <v>212</v>
      </c>
      <c r="AB915">
        <v>478</v>
      </c>
    </row>
    <row r="916" spans="26:28" x14ac:dyDescent="0.25">
      <c r="Z916">
        <v>1990</v>
      </c>
      <c r="AA916" t="s">
        <v>213</v>
      </c>
      <c r="AB916">
        <v>763</v>
      </c>
    </row>
    <row r="917" spans="26:28" x14ac:dyDescent="0.25">
      <c r="Z917">
        <v>1990</v>
      </c>
      <c r="AA917" t="s">
        <v>214</v>
      </c>
      <c r="AB917">
        <v>562</v>
      </c>
    </row>
    <row r="918" spans="26:28" x14ac:dyDescent="0.25">
      <c r="Z918">
        <v>1990</v>
      </c>
      <c r="AA918" t="s">
        <v>215</v>
      </c>
      <c r="AB918">
        <v>768</v>
      </c>
    </row>
    <row r="919" spans="26:28" x14ac:dyDescent="0.25">
      <c r="Z919">
        <v>1990</v>
      </c>
      <c r="AA919" t="s">
        <v>216</v>
      </c>
      <c r="AB919">
        <v>602</v>
      </c>
    </row>
    <row r="920" spans="26:28" x14ac:dyDescent="0.25">
      <c r="Z920">
        <v>1990</v>
      </c>
      <c r="AA920" t="s">
        <v>217</v>
      </c>
      <c r="AB920">
        <v>1604</v>
      </c>
    </row>
    <row r="921" spans="26:28" x14ac:dyDescent="0.25">
      <c r="Z921">
        <v>1992</v>
      </c>
      <c r="AA921" t="s">
        <v>198</v>
      </c>
      <c r="AB921">
        <v>16</v>
      </c>
    </row>
    <row r="922" spans="26:28" x14ac:dyDescent="0.25">
      <c r="Z922">
        <v>1990</v>
      </c>
      <c r="AA922" t="s">
        <v>219</v>
      </c>
      <c r="AB922">
        <v>763</v>
      </c>
    </row>
    <row r="923" spans="26:28" x14ac:dyDescent="0.25">
      <c r="Z923">
        <v>1990</v>
      </c>
      <c r="AA923" t="s">
        <v>220</v>
      </c>
      <c r="AB923">
        <v>1188</v>
      </c>
    </row>
    <row r="924" spans="26:28" x14ac:dyDescent="0.25">
      <c r="Z924">
        <v>1990</v>
      </c>
      <c r="AA924" t="s">
        <v>221</v>
      </c>
      <c r="AB924">
        <v>559</v>
      </c>
    </row>
    <row r="925" spans="26:28" x14ac:dyDescent="0.25">
      <c r="Z925">
        <v>1990</v>
      </c>
      <c r="AA925" t="s">
        <v>222</v>
      </c>
      <c r="AB925">
        <v>852</v>
      </c>
    </row>
    <row r="926" spans="26:28" x14ac:dyDescent="0.25">
      <c r="Z926">
        <v>1990</v>
      </c>
      <c r="AA926" t="s">
        <v>223</v>
      </c>
      <c r="AB926">
        <v>1006</v>
      </c>
    </row>
    <row r="927" spans="26:28" x14ac:dyDescent="0.25">
      <c r="Z927">
        <v>1991</v>
      </c>
      <c r="AA927" t="s">
        <v>198</v>
      </c>
      <c r="AB927">
        <v>15</v>
      </c>
    </row>
    <row r="928" spans="26:28" x14ac:dyDescent="0.25">
      <c r="Z928">
        <v>1990</v>
      </c>
      <c r="AA928" t="s">
        <v>198</v>
      </c>
      <c r="AB928">
        <v>10</v>
      </c>
    </row>
  </sheetData>
  <mergeCells count="63">
    <mergeCell ref="B164:B165"/>
    <mergeCell ref="A166:A178"/>
    <mergeCell ref="B180:B181"/>
    <mergeCell ref="A182:A183"/>
    <mergeCell ref="K58:K61"/>
    <mergeCell ref="A111:A128"/>
    <mergeCell ref="B111:B113"/>
    <mergeCell ref="B114:B116"/>
    <mergeCell ref="B117:B119"/>
    <mergeCell ref="B120:B122"/>
    <mergeCell ref="B123:B125"/>
    <mergeCell ref="B126:B128"/>
    <mergeCell ref="A39:A106"/>
    <mergeCell ref="B59:B62"/>
    <mergeCell ref="B63:B66"/>
    <mergeCell ref="B67:B70"/>
    <mergeCell ref="L58:L59"/>
    <mergeCell ref="L60:L61"/>
    <mergeCell ref="Q2:Q3"/>
    <mergeCell ref="B137:B138"/>
    <mergeCell ref="A139:A162"/>
    <mergeCell ref="L29:L32"/>
    <mergeCell ref="L33:L35"/>
    <mergeCell ref="L36:L38"/>
    <mergeCell ref="L39:L41"/>
    <mergeCell ref="K46:K53"/>
    <mergeCell ref="L46:L47"/>
    <mergeCell ref="L48:L49"/>
    <mergeCell ref="L50:L51"/>
    <mergeCell ref="L52:L53"/>
    <mergeCell ref="K2:K41"/>
    <mergeCell ref="L2:L4"/>
    <mergeCell ref="L5:L7"/>
    <mergeCell ref="L8:L10"/>
    <mergeCell ref="L11:L13"/>
    <mergeCell ref="L14:L16"/>
    <mergeCell ref="L17:L19"/>
    <mergeCell ref="L20:L22"/>
    <mergeCell ref="L23:L25"/>
    <mergeCell ref="L26:L28"/>
    <mergeCell ref="B99:B102"/>
    <mergeCell ref="B103:B106"/>
    <mergeCell ref="B75:B78"/>
    <mergeCell ref="B79:B82"/>
    <mergeCell ref="B83:B86"/>
    <mergeCell ref="B87:B90"/>
    <mergeCell ref="B91:B94"/>
    <mergeCell ref="B95:B98"/>
    <mergeCell ref="B39:B42"/>
    <mergeCell ref="B43:B46"/>
    <mergeCell ref="B47:B50"/>
    <mergeCell ref="B51:B54"/>
    <mergeCell ref="B55:B58"/>
    <mergeCell ref="B71:B74"/>
    <mergeCell ref="A2:A34"/>
    <mergeCell ref="B2:B5"/>
    <mergeCell ref="B6:B9"/>
    <mergeCell ref="B10:B13"/>
    <mergeCell ref="B14:B17"/>
    <mergeCell ref="B18:B21"/>
    <mergeCell ref="B22:B25"/>
    <mergeCell ref="B26:B29"/>
    <mergeCell ref="B30:B34"/>
  </mergeCells>
  <pageMargins left="0.7" right="0.7" top="0.75" bottom="0.75" header="0.3" footer="0.3"/>
  <customProperties>
    <customPr name="GUID" r:id="rId1"/>
  </customProperties>
  <legacy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29</vt:i4>
      </vt:variant>
    </vt:vector>
  </HeadingPairs>
  <TitlesOfParts>
    <vt:vector size="29" baseType="lpstr">
      <vt:lpstr>Fatores Emissões A1. Fuel 21</vt:lpstr>
      <vt:lpstr>Fatores Emissões A1. Fuel 19</vt:lpstr>
      <vt:lpstr>NIR APA vkm</vt:lpstr>
      <vt:lpstr>Conversões</vt:lpstr>
      <vt:lpstr>Sumidouros</vt:lpstr>
      <vt:lpstr>Conversões Energia</vt:lpstr>
      <vt:lpstr>Folha14</vt:lpstr>
      <vt:lpstr>PIC APA</vt:lpstr>
      <vt:lpstr>PIC DEFRA</vt:lpstr>
      <vt:lpstr>FE EE Location Based AIE</vt:lpstr>
      <vt:lpstr>FE DEFRA A1. Fuel Eq</vt:lpstr>
      <vt:lpstr>FE DEFRA A1. Fuel Eq (2)</vt:lpstr>
      <vt:lpstr>Fatores Emissões A1. Fuel Eq</vt:lpstr>
      <vt:lpstr>FE Em. Fugitivas</vt:lpstr>
      <vt:lpstr>PAG100 FE GE</vt:lpstr>
      <vt:lpstr>FE Em. Fugitivas (2)</vt:lpstr>
      <vt:lpstr>FE Produção Eletricidade</vt:lpstr>
      <vt:lpstr>FE perdas Energia</vt:lpstr>
      <vt:lpstr>Folha7</vt:lpstr>
      <vt:lpstr>Folha1</vt:lpstr>
      <vt:lpstr>FE Aquisições</vt:lpstr>
      <vt:lpstr>FE Deslocações Pendulares aux</vt:lpstr>
      <vt:lpstr>FE Deslocações Pendulares</vt:lpstr>
      <vt:lpstr>FE Entregas</vt:lpstr>
      <vt:lpstr>FE manutenção</vt:lpstr>
      <vt:lpstr>FE Resíduos</vt:lpstr>
      <vt:lpstr>FE Uso Água + TAR</vt:lpstr>
      <vt:lpstr>FE Mat Vendido</vt:lpstr>
      <vt:lpstr>PAG20 FE 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AIPC</dc:creator>
  <cp:lastModifiedBy>AIPC</cp:lastModifiedBy>
  <dcterms:created xsi:type="dcterms:W3CDTF">2024-05-14T08:19:57Z</dcterms:created>
  <dcterms:modified xsi:type="dcterms:W3CDTF">2024-09-18T09:44:24Z</dcterms:modified>
</cp:coreProperties>
</file>